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95" windowWidth="28800" windowHeight="16080" tabRatio="888" activeTab="0"/>
  </bookViews>
  <sheets>
    <sheet name="Оглавление" sheetId="1" r:id="rId1"/>
    <sheet name="Акционные товары" sheetId="2" r:id="rId2"/>
    <sheet name="БСК Карты" sheetId="3" r:id="rId3"/>
    <sheet name="Primacy2" sheetId="4" r:id="rId4"/>
    <sheet name="ZENIUS" sheetId="5" r:id="rId5"/>
    <sheet name="Badgy200" sheetId="6" r:id="rId6"/>
    <sheet name="AVANSIA" sheetId="7" r:id="rId7"/>
    <sheet name="Edikio guest" sheetId="8" r:id="rId8"/>
    <sheet name="Edikio" sheetId="9" r:id="rId9"/>
    <sheet name="CardPresso" sheetId="10" r:id="rId10"/>
    <sheet name="Ленты" sheetId="11" r:id="rId11"/>
    <sheet name="Чистка" sheetId="12" r:id="rId12"/>
    <sheet name="Карты" sheetId="13" r:id="rId13"/>
    <sheet name="Кодировщики" sheetId="14" r:id="rId14"/>
    <sheet name="Панель цифровой подписи SIG" sheetId="15" r:id="rId15"/>
    <sheet name="Primacy" sheetId="16" r:id="rId16"/>
    <sheet name="Primacy LAM" sheetId="17" r:id="rId17"/>
  </sheets>
  <definedNames>
    <definedName name="_xlfn.FLOOR.PRECISE" hidden="1">#NAME?</definedName>
    <definedName name="k">'Оглавление'!$H$33</definedName>
    <definedName name="kof">#REF!</definedName>
    <definedName name="uan">#REF!</definedName>
    <definedName name="usd">#REF!</definedName>
    <definedName name="_xlnm.Print_Area" localSheetId="6">'AVANSIA'!$A$1:$D$52</definedName>
    <definedName name="_xlnm.Print_Area" localSheetId="15">'Primacy'!$A$1:$G$41</definedName>
    <definedName name="_xlnm.Print_Area" localSheetId="16">'Primacy LAM'!$A$1:$G$33</definedName>
    <definedName name="_xlnm.Print_Area" localSheetId="2">'БСК Карты'!$A$1:$M$62</definedName>
    <definedName name="_xlnm.Print_Area" localSheetId="10">'Ленты'!$A$1:$D$49</definedName>
    <definedName name="_xlnm.Print_Area" localSheetId="0">'Оглавление'!$A$1:$J$33</definedName>
  </definedNames>
  <calcPr fullCalcOnLoad="1"/>
</workbook>
</file>

<file path=xl/sharedStrings.xml><?xml version="1.0" encoding="utf-8"?>
<sst xmlns="http://schemas.openxmlformats.org/spreadsheetml/2006/main" count="1370" uniqueCount="699">
  <si>
    <t>Артикул</t>
  </si>
  <si>
    <t>Наименование</t>
  </si>
  <si>
    <t>Primacy - для односторонней печати</t>
  </si>
  <si>
    <t>Primacy - для двусторонней печати</t>
  </si>
  <si>
    <t>S10131</t>
  </si>
  <si>
    <t>PMY1-KTDS</t>
  </si>
  <si>
    <t>Ленты для полноцветной печати</t>
  </si>
  <si>
    <t>R5H004NAA</t>
  </si>
  <si>
    <t>Монохромные ленты</t>
  </si>
  <si>
    <t>RCT012NAA</t>
  </si>
  <si>
    <t>RCT013NAA</t>
  </si>
  <si>
    <t>RCT014NAA</t>
  </si>
  <si>
    <t>RCT015NAA</t>
  </si>
  <si>
    <t>RCT016NAA</t>
  </si>
  <si>
    <t>RCT017NAA</t>
  </si>
  <si>
    <t>RCT018NAA</t>
  </si>
  <si>
    <t>RCT019NAA</t>
  </si>
  <si>
    <t>RCT021NAA</t>
  </si>
  <si>
    <t>RVA022NAA</t>
  </si>
  <si>
    <t>R2F010NAA</t>
  </si>
  <si>
    <t>ZENIUS -  принтер для цветной печати</t>
  </si>
  <si>
    <t>Кодировщики для принтеров Expert Zenius и Primacy</t>
  </si>
  <si>
    <t>S10107</t>
  </si>
  <si>
    <t>S10108</t>
  </si>
  <si>
    <t>S10112</t>
  </si>
  <si>
    <t>Набор для установки контакт/бесконтактного кодера в принтеры Expert.</t>
  </si>
  <si>
    <t>R2011</t>
  </si>
  <si>
    <t>R2012</t>
  </si>
  <si>
    <t>R2013</t>
  </si>
  <si>
    <t>R2014</t>
  </si>
  <si>
    <t>R2015</t>
  </si>
  <si>
    <t>R2016</t>
  </si>
  <si>
    <t>R2017</t>
  </si>
  <si>
    <t>R2018</t>
  </si>
  <si>
    <t>R2029</t>
  </si>
  <si>
    <t>R2030</t>
  </si>
  <si>
    <t>R3011</t>
  </si>
  <si>
    <t>R3012</t>
  </si>
  <si>
    <t>R3013</t>
  </si>
  <si>
    <t>R4002</t>
  </si>
  <si>
    <t>Ленты для Tattoo2</t>
  </si>
  <si>
    <t>R3411</t>
  </si>
  <si>
    <t>R2211</t>
  </si>
  <si>
    <t>R2212</t>
  </si>
  <si>
    <t>R2213</t>
  </si>
  <si>
    <t>R2214</t>
  </si>
  <si>
    <t>R2215</t>
  </si>
  <si>
    <t>R2216</t>
  </si>
  <si>
    <t>R2217</t>
  </si>
  <si>
    <t>R2229</t>
  </si>
  <si>
    <t>Комплекты для чистки Zenius, Primacy</t>
  </si>
  <si>
    <t>ACL001</t>
  </si>
  <si>
    <t>ACL002</t>
  </si>
  <si>
    <t>Набор для чистки принтера Zenius, Primacy (2 Т-карты,5 карт, чистящий карандаш, 60 салфток).</t>
  </si>
  <si>
    <t>Комплекты для чистки Tattoo, Pebble, Dualys, Securion, Quantum</t>
  </si>
  <si>
    <t>A5011</t>
  </si>
  <si>
    <t>Для полной чистки принтера (5 карт, 5 тампонов, упаковка (40 шт.) чистящих салфеток)</t>
  </si>
  <si>
    <t>A5002</t>
  </si>
  <si>
    <t>Для чистки принтера (Упаковка (50) чистящих карт, упакованных индивидуально)</t>
  </si>
  <si>
    <t>A5003</t>
  </si>
  <si>
    <t>A5004</t>
  </si>
  <si>
    <t>Печатающие головки</t>
  </si>
  <si>
    <t>S2191</t>
  </si>
  <si>
    <t>Печатающая головка для Tattoo2</t>
  </si>
  <si>
    <t>S5101</t>
  </si>
  <si>
    <t>Печатающая головка для Pebble3, Dualys2</t>
  </si>
  <si>
    <t>S10000</t>
  </si>
  <si>
    <t>Печатающая головка для Pebble4, Dualys3, Securion, Quantum2</t>
  </si>
  <si>
    <t>S10084</t>
  </si>
  <si>
    <t>Печатающая головка для Zenius, Primacy</t>
  </si>
  <si>
    <t>S4101</t>
  </si>
  <si>
    <t>Печатающая головка для Quantum, Dualys1</t>
  </si>
  <si>
    <t>С4002</t>
  </si>
  <si>
    <t>С4003</t>
  </si>
  <si>
    <t>Опции для принтеров Primacy</t>
  </si>
  <si>
    <t xml:space="preserve">Розница </t>
  </si>
  <si>
    <t>R6F003SAA</t>
  </si>
  <si>
    <t>YMCKO</t>
  </si>
  <si>
    <t>1/2YMCKO</t>
  </si>
  <si>
    <t>KO</t>
  </si>
  <si>
    <t>YMCKO-K</t>
  </si>
  <si>
    <t>C4001</t>
  </si>
  <si>
    <t>C4004</t>
  </si>
  <si>
    <t>C3001</t>
  </si>
  <si>
    <t>C2001</t>
  </si>
  <si>
    <t>C4512</t>
  </si>
  <si>
    <t>A5050</t>
  </si>
  <si>
    <t>C4522</t>
  </si>
  <si>
    <t>Чистые карты из ПВХ с полем для надписи на обороте - 0.50mm, 1 пачек по 100 карт</t>
  </si>
  <si>
    <t>Пластиковый зажим для бейджей с отверстием 5 мм, 1 пачек  100 зажимов</t>
  </si>
  <si>
    <t>Чистые карты перфорацией  – отверстие 5 мм – толщина 0,50 мм,1 пачек по 100 карт</t>
  </si>
  <si>
    <t>Чистые карты  - 0.25mm, 5 пачек по 100 карт</t>
  </si>
  <si>
    <t>Классические чистые белые карты с магнитной дорожкой LOCO - 0.76mm, 5 пачек по 100 карт</t>
  </si>
  <si>
    <t>Классические чистые белые карты с магнитной полосой HICO - 0.76mm, 5 пачек по 100 карт</t>
  </si>
  <si>
    <t>Классические чистые белые карты - 0.50mm, 5 пачек по 100 карт</t>
  </si>
  <si>
    <t>Классические чистые белые карты - 0.76mm, 5 пачек по 100 карт</t>
  </si>
  <si>
    <t>Карты Evolis High Trust</t>
  </si>
  <si>
    <t>A5070</t>
  </si>
  <si>
    <t>Набор для чистки Laminateur 1 Упаковка из 10 чистящих клейких карт</t>
  </si>
  <si>
    <t>ACL003</t>
  </si>
  <si>
    <t>ACL004</t>
  </si>
  <si>
    <t>ACL005</t>
  </si>
  <si>
    <t>Набор для чистки с клейкими картами (для чистящих роликов) 50 клейких карт</t>
  </si>
  <si>
    <t>Набор для чистки с T-образными картами (для подающих роликов) 10 Т-образных пропитанных карт</t>
  </si>
  <si>
    <t xml:space="preserve">Набор для чистки с карандашом (для печатающей головки) 3 чистящих карандаша - до 8 использований </t>
  </si>
  <si>
    <t>R5F008SAA</t>
  </si>
  <si>
    <t>R5F002SAA</t>
  </si>
  <si>
    <t>C8001</t>
  </si>
  <si>
    <t>EURO</t>
  </si>
  <si>
    <t>%</t>
  </si>
  <si>
    <t>PM1H0000RS</t>
  </si>
  <si>
    <t>PM1W0000RS</t>
  </si>
  <si>
    <t>PM1HB000RS</t>
  </si>
  <si>
    <t>PM1H0T00RS</t>
  </si>
  <si>
    <t>PM1H0CCMRS</t>
  </si>
  <si>
    <t>PM1H0000RD</t>
  </si>
  <si>
    <t>PM1W0000RD</t>
  </si>
  <si>
    <t>PM1HB000RD</t>
  </si>
  <si>
    <t>ZN1U0000RS</t>
  </si>
  <si>
    <t>ZN1H0000RS</t>
  </si>
  <si>
    <t>ZN1HB000RS</t>
  </si>
  <si>
    <t>ZN1H0T00RS</t>
  </si>
  <si>
    <t>ZN1H0CCMRS</t>
  </si>
  <si>
    <t xml:space="preserve">Принтеры Evolis для печати на пластиковых картах </t>
  </si>
  <si>
    <t>(модели, опции и расходные материалы)</t>
  </si>
  <si>
    <t>Монохромные ленты для Primacy/Zenius</t>
  </si>
  <si>
    <t>Оригинальные расходные материалы Evolis</t>
  </si>
  <si>
    <t>Полноцветные и монохромные ленты</t>
  </si>
  <si>
    <t>Ламинационные ленты</t>
  </si>
  <si>
    <t>Комплекты для чистки, Печатающие головки</t>
  </si>
  <si>
    <t>Оригинальные карты Evolis</t>
  </si>
  <si>
    <t>Аксессуары и запасные части</t>
  </si>
  <si>
    <t>Кодировщики</t>
  </si>
  <si>
    <t>Программное обеспечение</t>
  </si>
  <si>
    <t>CardPresso</t>
  </si>
  <si>
    <t>CP1000</t>
  </si>
  <si>
    <t>CP1100</t>
  </si>
  <si>
    <t>CP1200</t>
  </si>
  <si>
    <r>
      <t xml:space="preserve">CardPresso XXS </t>
    </r>
    <r>
      <rPr>
        <b/>
        <sz val="9"/>
        <rFont val="Arial Cyr"/>
        <family val="0"/>
      </rPr>
      <t>Basic</t>
    </r>
    <r>
      <rPr>
        <sz val="9"/>
        <rFont val="Arial Cyr"/>
        <family val="0"/>
      </rPr>
      <t xml:space="preserve"> CP1000</t>
    </r>
  </si>
  <si>
    <r>
      <t xml:space="preserve">CardPresso XS </t>
    </r>
    <r>
      <rPr>
        <b/>
        <sz val="9"/>
        <rFont val="Arial Cyr"/>
        <family val="0"/>
      </rPr>
      <t>Standart</t>
    </r>
    <r>
      <rPr>
        <sz val="9"/>
        <rFont val="Arial Cyr"/>
        <family val="0"/>
      </rPr>
      <t xml:space="preserve"> CP1100</t>
    </r>
  </si>
  <si>
    <r>
      <t xml:space="preserve">CardPresso XM </t>
    </r>
    <r>
      <rPr>
        <b/>
        <sz val="9"/>
        <rFont val="Arial Cyr"/>
        <family val="0"/>
      </rPr>
      <t>Profi</t>
    </r>
    <r>
      <rPr>
        <sz val="9"/>
        <rFont val="Arial Cyr"/>
        <family val="0"/>
      </rPr>
      <t xml:space="preserve"> CP1200</t>
    </r>
  </si>
  <si>
    <r>
      <rPr>
        <b/>
        <sz val="10"/>
        <rFont val="Arial Cyr"/>
        <family val="0"/>
      </rPr>
      <t>CARDPRESSO</t>
    </r>
    <r>
      <rPr>
        <sz val="10"/>
        <rFont val="Arial Cyr"/>
        <family val="0"/>
      </rPr>
      <t xml:space="preserve"> – программа сочетает в себе возможность создания дизайна карты, подключения (создания) базы данных, печать и кодирование магнитной полосы, смарткарты, создания специальных эффектов. Установка автоматического счетчика, печать различных штрих-кодов, в том числе двухмерных. CardPresso имеет несколько версий - лицензий для оптимального сочетания функциональности и цены</t>
    </r>
  </si>
  <si>
    <r>
      <rPr>
        <b/>
        <sz val="9"/>
        <rFont val="Arial Cyr"/>
        <family val="0"/>
      </rPr>
      <t>CARDPRESSO XXS basic</t>
    </r>
    <r>
      <rPr>
        <sz val="9"/>
        <rFont val="Arial Cyr"/>
        <family val="0"/>
      </rPr>
      <t xml:space="preserve">
Начальный уровень выпуска карт, создание дизайна из готовых шаблонов, автоматический счетчик, кодирование магнитной полосы, печать штрих кода 1D, захват фото (WIA, DirectShow).</t>
    </r>
  </si>
  <si>
    <r>
      <rPr>
        <b/>
        <sz val="9"/>
        <rFont val="Arial Cyr"/>
        <family val="0"/>
      </rPr>
      <t>CARDPRESSO XS standart</t>
    </r>
    <r>
      <rPr>
        <sz val="9"/>
        <rFont val="Arial Cyr"/>
        <family val="0"/>
      </rPr>
      <t xml:space="preserve">
Текстовые источники баз данных формата .XLS, .CSV и .TXT Поключение к базе данных, просмотр и поиск записей в БД, подключение фотографий к полю БД при помощи ссылок.</t>
    </r>
  </si>
  <si>
    <r>
      <rPr>
        <b/>
        <sz val="9"/>
        <rFont val="Arial Cyr"/>
        <family val="0"/>
      </rPr>
      <t>CARDPRESSO XM proﬁ</t>
    </r>
    <r>
      <rPr>
        <sz val="9"/>
        <rFont val="Arial Cyr"/>
        <family val="0"/>
      </rPr>
      <t xml:space="preserve">
Создание внутренней базы в MS Access, фотографии в поле, двухмерный штрих-код, сохранение фотографии в БД, модуль автоматического распознавания лица и автообрезки, модуль смарт карт, поиск записей в БД</t>
    </r>
  </si>
  <si>
    <t>CP1300</t>
  </si>
  <si>
    <r>
      <t xml:space="preserve">CardPresso XL </t>
    </r>
    <r>
      <rPr>
        <b/>
        <sz val="9"/>
        <rFont val="Arial Cyr"/>
        <family val="0"/>
      </rPr>
      <t>Expert</t>
    </r>
    <r>
      <rPr>
        <sz val="9"/>
        <rFont val="Arial Cyr"/>
        <family val="0"/>
      </rPr>
      <t xml:space="preserve"> CP1300</t>
    </r>
  </si>
  <si>
    <r>
      <rPr>
        <b/>
        <sz val="9"/>
        <rFont val="Arial Cyr"/>
        <family val="0"/>
      </rPr>
      <t>CARDPRESSO XL expert</t>
    </r>
    <r>
      <rPr>
        <sz val="9"/>
        <rFont val="Arial Cyr"/>
        <family val="0"/>
      </rPr>
      <t xml:space="preserve">
Максимальная версия программы, подключение к БД через ODBC, поддержка кодирования проксимити карт HID, MIFARE. Возможность управление несколькими принтерами. Автопечать, несколько шаблонов </t>
    </r>
  </si>
  <si>
    <t>CP1400</t>
  </si>
  <si>
    <r>
      <t xml:space="preserve">CardPresso XXL </t>
    </r>
    <r>
      <rPr>
        <b/>
        <sz val="9"/>
        <rFont val="Arial Cyr"/>
        <family val="0"/>
      </rPr>
      <t>net expert</t>
    </r>
    <r>
      <rPr>
        <sz val="9"/>
        <rFont val="Arial Cyr"/>
        <family val="0"/>
      </rPr>
      <t xml:space="preserve"> CP1400</t>
    </r>
  </si>
  <si>
    <r>
      <rPr>
        <b/>
        <sz val="9"/>
        <rFont val="Arial Cyr"/>
        <family val="0"/>
      </rPr>
      <t xml:space="preserve">CARDPRESSO XXL net expert
</t>
    </r>
    <r>
      <rPr>
        <sz val="9"/>
        <rFont val="Arial Cyr"/>
        <family val="0"/>
      </rPr>
      <t>Больше, чем приложение, ряд дополнительных преимуществ, таких как, обработка карт DesFire, Web принт сервер, сетевая лицензия на 16 рабочих станций.</t>
    </r>
  </si>
  <si>
    <t>Вернуться в Оглавление</t>
  </si>
  <si>
    <t>CARDPRESSO Software</t>
  </si>
  <si>
    <t>PETF Чистые карты  - 0.76mm, 1 пачек  500 карт</t>
  </si>
  <si>
    <r>
      <t xml:space="preserve">Чистые черные карты из PVC-U </t>
    </r>
    <r>
      <rPr>
        <b/>
        <sz val="9"/>
        <rFont val="Arial Cyr"/>
        <family val="0"/>
      </rPr>
      <t>с матовым покрытием</t>
    </r>
    <r>
      <rPr>
        <sz val="9"/>
        <rFont val="Arial Cyr"/>
        <family val="0"/>
      </rPr>
      <t xml:space="preserve"> - 0.50mm, 5 пачек по 100 карт</t>
    </r>
  </si>
  <si>
    <t>Тип карты</t>
  </si>
  <si>
    <t>100 шт.</t>
  </si>
  <si>
    <t>500 шт.</t>
  </si>
  <si>
    <t>1 000 шт.</t>
  </si>
  <si>
    <t>3 000 шт.</t>
  </si>
  <si>
    <t>5 000 шт.</t>
  </si>
  <si>
    <t>10 000 шт.</t>
  </si>
  <si>
    <t>ISO 15693</t>
  </si>
  <si>
    <t>I Code SLI</t>
  </si>
  <si>
    <t>UHF (ISO 18000)</t>
  </si>
  <si>
    <t>Gen2</t>
  </si>
  <si>
    <t>Цены указаны в тенге с учетом НДС 12 %.</t>
  </si>
  <si>
    <r>
      <t xml:space="preserve">Изготавливаем комби-краты </t>
    </r>
    <r>
      <rPr>
        <b/>
        <sz val="12"/>
        <rFont val="Times New Roman"/>
        <family val="1"/>
      </rPr>
      <t>125КГц + 13,56МГц</t>
    </r>
    <r>
      <rPr>
        <sz val="12"/>
        <rFont val="Times New Roman"/>
        <family val="1"/>
      </rPr>
      <t>. (</t>
    </r>
    <r>
      <rPr>
        <b/>
        <sz val="12"/>
        <rFont val="Times New Roman"/>
        <family val="1"/>
      </rPr>
      <t>13,56МГц + UHF</t>
    </r>
    <r>
      <rPr>
        <sz val="12"/>
        <rFont val="Times New Roman"/>
        <family val="1"/>
      </rPr>
      <t>)</t>
    </r>
  </si>
  <si>
    <t>Сублимационная печать на принтерах Evolis</t>
  </si>
  <si>
    <t>Монохромная черная печать</t>
  </si>
  <si>
    <t>Печать цветная с одной стороны</t>
  </si>
  <si>
    <t>Печать переменных данных (номер, штрих-код)</t>
  </si>
  <si>
    <t>Кодирование магнитной полосы</t>
  </si>
  <si>
    <t>Печать цветная с одной стороны с фотографией</t>
  </si>
  <si>
    <t>Бесконтактные карты EM-marine, Mifare. HID</t>
  </si>
  <si>
    <t>RCT023NAA</t>
  </si>
  <si>
    <t>Запрос</t>
  </si>
  <si>
    <t>Наклейка самоклеющаяся UltraCard, CR-80, Белая, HID, 0,25мм, 500 штук (Арт.82266)</t>
  </si>
  <si>
    <t>Evolis Avansia</t>
  </si>
  <si>
    <t>AV1H0000BD</t>
  </si>
  <si>
    <t>AV1HB000BD</t>
  </si>
  <si>
    <t>AV1H0VVCBD</t>
  </si>
  <si>
    <r>
      <rPr>
        <b/>
        <sz val="9"/>
        <rFont val="Arial Cyr"/>
        <family val="0"/>
      </rPr>
      <t>Avansia Duplex Expert Smart &amp; Contactless</t>
    </r>
    <r>
      <rPr>
        <sz val="9"/>
        <rFont val="Arial Cyr"/>
        <family val="0"/>
      </rPr>
      <t xml:space="preserve">
Printer with Evolis SCM Dual Smart Card and Contactless Encoder, USB &amp; Ethernet</t>
    </r>
  </si>
  <si>
    <r>
      <rPr>
        <b/>
        <sz val="9"/>
        <rFont val="Arial Cyr"/>
        <family val="0"/>
      </rPr>
      <t>Avansia Duplex Expert Smart &amp; Contactless</t>
    </r>
    <r>
      <rPr>
        <sz val="9"/>
        <rFont val="Arial Cyr"/>
        <family val="0"/>
      </rPr>
      <t xml:space="preserve">
Printer with HID veriCLASS Dual Smart Card and Contactless Encoder, USB &amp; Ethernet</t>
    </r>
  </si>
  <si>
    <r>
      <rPr>
        <b/>
        <sz val="9"/>
        <rFont val="Arial Cyr"/>
        <family val="0"/>
      </rPr>
      <t>Avansia Duplex Expert Mag ISO Smart &amp; Contactless</t>
    </r>
    <r>
      <rPr>
        <sz val="9"/>
        <rFont val="Arial Cyr"/>
        <family val="0"/>
      </rPr>
      <t xml:space="preserve">
Printer with Mag ISO Dual HiCo/LoCo 3-track magnetic stripe encoder and Evolis SCM Dual Smart Card and Contactless Encoder, USB &amp; Ethernet</t>
    </r>
  </si>
  <si>
    <t>Ленты для печати</t>
  </si>
  <si>
    <t>RTCL009NAA</t>
  </si>
  <si>
    <t>RT4F010SAA</t>
  </si>
  <si>
    <t>RT5F011SAA</t>
  </si>
  <si>
    <t>YMCK</t>
  </si>
  <si>
    <t>Clear RT Film</t>
  </si>
  <si>
    <t>YMCKK</t>
  </si>
  <si>
    <t>ACL006</t>
  </si>
  <si>
    <t>ZN1H0VVCRS</t>
  </si>
  <si>
    <t>ZN1H00HSRS</t>
  </si>
  <si>
    <t>Zenius Expert Mag ISO Принтер с кодировщиком магнитных полос ISO с поддержкой двух режимов коэрцитивности HiCo/LoCo, 3-дорожки, USB &amp; Ethernet</t>
  </si>
  <si>
    <t>Zenius Expert Smart Принтер с кодировщиком смарт-карт GEMPC USB-TR , USB &amp; Ethernet</t>
  </si>
  <si>
    <t xml:space="preserve">Zenius Expert Contactless Принтер с бесконтактным устройством кодирования SpringCard Crazy Writer HSP, USB &amp; Ethernet  </t>
  </si>
  <si>
    <t xml:space="preserve">Zenius Expert Smart &amp; Contactless Принтер с бесконтактным устройством кодирования смарт-карт Evolis Elyctis Dual, с поддержкой двух режимов работы, USB &amp; Ethernet   </t>
  </si>
  <si>
    <t>ZN1H0HLBRS</t>
  </si>
  <si>
    <t>Zenius Expert Smart &amp; ContactlessПринтер с кодировщиком контактных и бесконтактных карт HID veriCLASS, USB и сетью Ethernet</t>
  </si>
  <si>
    <t>Zenius Expert Smart &amp; Contactless Принтер кодировщиком контактных и бесконтактных карт Omnikey 5121 Cardman, USB и сетью Ethernet</t>
  </si>
  <si>
    <t>Primacy Simplex Wireless Принтер Эксперт без опций, USB и WiFi</t>
  </si>
  <si>
    <t>Primacy Simplex Expert Smart Принтер смарт-карт с кодировщиком смарт-карт GEMPC USB-TR, USB и Ethernet</t>
  </si>
  <si>
    <t>PM1H00HSRS</t>
  </si>
  <si>
    <t>Primacy Simplex Expert Contactless Принтер бесконтактных карт с кодирующим модулем SpringCard Crazy Writer HSP, USB и Ethernet</t>
  </si>
  <si>
    <t>PM1H0HLBRS</t>
  </si>
  <si>
    <t>Primacy Simplex Expert Smart &amp; ContactlessПринтер смарт-карт и бесконтактных карт с комбинированным кодировщиком смарт-карт и бесконтактных карт Evolis Elyctis, USB и Ethernet</t>
  </si>
  <si>
    <t>PM1H0VVCRS</t>
  </si>
  <si>
    <t>Primacy Simplex Expert Smart &amp; Contactless Принтер с кодировщиком контактных и бесконтактных карт HID veriCLASS, USB и сетью Ethernet</t>
  </si>
  <si>
    <t xml:space="preserve">Primacy Simplex Expert Smart &amp; Contactless Принтер кодировщиком контактных и бесконтактных карт Omnikey 5121 Cardman, USB и сетью Ethernet </t>
  </si>
  <si>
    <t>Primacy Duplex Expert Принтер Эксперт без опций, USB и Ethernet</t>
  </si>
  <si>
    <t>Primacy Duplex Wireless Принтер Эксперт без опций, USB и WiFi</t>
  </si>
  <si>
    <t>Primacy Duplex Expert Mag ISO Принтер с кодировщиком магнитной полосы ISO Dual HiCo/LoCo 3-х дорожечный, USB и Ethernet</t>
  </si>
  <si>
    <t>Primacy Simplex Expert Mag ISO Принтер с кодировщиком магнитной полосы ISO Dual HiCo/LoCo 3-х дорожечный, USB и Ethernet</t>
  </si>
  <si>
    <t>PM1H00HSRD</t>
  </si>
  <si>
    <t>Primacy Duplex Expert Contactless Принтер бесконтактных карт с кодирующим модулем SpringCard Crazy Writer HSP, USB и Ethernet</t>
  </si>
  <si>
    <t>PM1H0HLBRD</t>
  </si>
  <si>
    <t xml:space="preserve">Primacy Duplex Expert Smart &amp; Contactless Принтер смарт-карт и бесконтактных карт с комбинированным кодировщиком смарт-карт и бесконтактных карт Evolis Elyctis, USB и Ethernet </t>
  </si>
  <si>
    <t>Smart Contact station (DB9) kit Контактная Smart станция для контактных карт</t>
  </si>
  <si>
    <t>Magnetic ISO encoding kit Кодировщик магнитной полосы, ISO Dual HiCo/LoCo 3-track.</t>
  </si>
  <si>
    <t>GEMPC USB-TR encoding kit Кодировщик Gemalto GEMPC USB-TR, для контактных карт.</t>
  </si>
  <si>
    <t>Набор активации двусторонней печати</t>
  </si>
  <si>
    <t>Комплект системы блокировки доступа к принтеру Primacy</t>
  </si>
  <si>
    <t>S10168</t>
  </si>
  <si>
    <t>Evolis Elatec TWN4 Legic® NFC encoding kit Вкл. Evolis Elatec TWN4 Legic® NFC encoder, монтажную плату, плату управления и кабели</t>
  </si>
  <si>
    <r>
      <rPr>
        <b/>
        <sz val="9"/>
        <rFont val="Arial Cyr"/>
        <family val="0"/>
      </rPr>
      <t>Avansia Duplex Expert Mag ISO</t>
    </r>
    <r>
      <rPr>
        <sz val="9"/>
        <rFont val="Arial Cyr"/>
        <family val="0"/>
      </rPr>
      <t xml:space="preserve">
Принтер с кодером магнитной ленты на 3 дорожки Mag ISO Dual HiCo/LoCo, USB и сетью Ethernet</t>
    </r>
  </si>
  <si>
    <t>AV1H0HLBBD</t>
  </si>
  <si>
    <t>AV1HBHLBBD</t>
  </si>
  <si>
    <t>Avansia -  Ретрансферный принтер с двусторонней печатью и разрешением 600 dpi</t>
  </si>
  <si>
    <t>Трансферная лента Clear RT Film500 до 500 отпечатков</t>
  </si>
  <si>
    <t>Лента для полноцветной печати YMCK, до 500 отпечатков</t>
  </si>
  <si>
    <t>Лента для двусторонней печати YMCKK. Полноцветная печать с одной стороны и черная печать с оборотной стороны карты. До 400 отпечатков</t>
  </si>
  <si>
    <t>Комплекты для чистки Avansia</t>
  </si>
  <si>
    <t>Для чистки очищающих валиков (1 распылитель с 60 предварительно увлажненными безворсовыми салфетками )</t>
  </si>
  <si>
    <t>Для чистки печатающей головки (25 палочек для чистки с резервуаром с изопропиловым спиртом)</t>
  </si>
  <si>
    <t>Набор для чистки принтера Zenius, Primacy (5 карт, 5 палочек).</t>
  </si>
  <si>
    <t>Badgy200 -  принтер для цветной печати</t>
  </si>
  <si>
    <t>Evolis Badgy200</t>
  </si>
  <si>
    <t>B22U0000RS</t>
  </si>
  <si>
    <r>
      <rPr>
        <b/>
        <sz val="9"/>
        <rFont val="Arial Cyr"/>
        <family val="0"/>
      </rPr>
      <t>Badgy200  Принтер для печати на пластиковых картах, USB, красный.</t>
    </r>
    <r>
      <rPr>
        <sz val="9"/>
        <rFont val="Arial Cyr"/>
        <family val="0"/>
      </rPr>
      <t xml:space="preserve">
В комплекте с полноцветной лентой на 100 отпечатков и 100 белых карт. + Evolis Badge Studio для дизайна и печати бейджей</t>
    </r>
  </si>
  <si>
    <t>CBGP0001C</t>
  </si>
  <si>
    <t>Комплект для печати 100 карт (Полноцветная лента на 100 отпечатков + 100шт белых карт)</t>
  </si>
  <si>
    <t>CBGR0100C</t>
  </si>
  <si>
    <t>Полноцветная лента YMCKO для Evolis Badgy200 на 100 отпечатков</t>
  </si>
  <si>
    <t>CBGR0500K</t>
  </si>
  <si>
    <t>Черная монохромная лента для Evolis Badgy200 на 500 отпечатков</t>
  </si>
  <si>
    <t>Комплекты для чистки Badgy200</t>
  </si>
  <si>
    <t>A5311</t>
  </si>
  <si>
    <t>Сумка для принтера Badgy200</t>
  </si>
  <si>
    <t>HID карты</t>
  </si>
  <si>
    <t>&lt;Между&gt;</t>
  </si>
  <si>
    <t>по штучно до 10</t>
  </si>
  <si>
    <t>50 шт.</t>
  </si>
  <si>
    <t>Цены на Mifare UltraLight C, Mifare Plus - по запросу</t>
  </si>
  <si>
    <t>Рассматриваем запросы на карты не из нашего прайс листа</t>
  </si>
  <si>
    <t>Тираж от</t>
  </si>
  <si>
    <t>HID ISOProx® II 1386 под прямую печать на карт-принтерах  “тонкая” 30 mil (0.76 мм)</t>
  </si>
  <si>
    <t>HID DuoProx® II 1336 Бесконтактный идентификатор-карта с магнитной полосой под прямую печать на карт-принтерах. Рабочая частота: 125 кГц. Размер: CR80</t>
  </si>
  <si>
    <t>ACL008</t>
  </si>
  <si>
    <t>Набор для чистки с 2 T-образными картами (для подающих роликов) и 1 карандашом (для печатающей головки)</t>
  </si>
  <si>
    <t>S10109</t>
  </si>
  <si>
    <t>S10170</t>
  </si>
  <si>
    <t>S10175</t>
  </si>
  <si>
    <t>S10137</t>
  </si>
  <si>
    <t>Набор монтажных пластин для SpringCard Crazy Writer HSP</t>
  </si>
  <si>
    <t>S10169</t>
  </si>
  <si>
    <r>
      <t xml:space="preserve">Набор кодирования </t>
    </r>
    <r>
      <rPr>
        <b/>
        <sz val="9"/>
        <rFont val="Arial Cyr"/>
        <family val="0"/>
      </rPr>
      <t xml:space="preserve">SpringCard Crazy Writer HSP* </t>
    </r>
    <r>
      <rPr>
        <sz val="9"/>
        <rFont val="Arial Cyr"/>
        <family val="0"/>
      </rPr>
      <t>Вкл. кодировщик SpringCard "Crazy Writer HSP", монтажную плату, плату управления и кабель</t>
    </r>
  </si>
  <si>
    <r>
      <t xml:space="preserve">Комплект кодировщика </t>
    </r>
    <r>
      <rPr>
        <b/>
        <sz val="9"/>
        <rFont val="Arial Cyr"/>
        <family val="0"/>
      </rPr>
      <t>Evolis-Elyctis Dual *</t>
    </r>
    <r>
      <rPr>
        <sz val="9"/>
        <rFont val="Arial Cyr"/>
        <family val="0"/>
      </rPr>
      <t xml:space="preserve">
Включает кодировщик Evolis-Elyctis Dual, с поддержкой двух режимов работы, контактную станцию для смарт-карт, держатель для антенны, дочернюю плату и кабели</t>
    </r>
  </si>
  <si>
    <t>S10176</t>
  </si>
  <si>
    <t>Набор монтажных пластин для Evolis-Elyctis Dual</t>
  </si>
  <si>
    <r>
      <t xml:space="preserve">Комплект кодировщика </t>
    </r>
    <r>
      <rPr>
        <b/>
        <sz val="9"/>
        <rFont val="Arial Cyr"/>
        <family val="0"/>
      </rPr>
      <t>HID veriCLASS Dual *</t>
    </r>
    <r>
      <rPr>
        <sz val="9"/>
        <rFont val="Arial Cyr"/>
        <family val="0"/>
      </rPr>
      <t xml:space="preserve">
Вкл. кодировщик контактных и бесконтактных карт HID veriCLASS, контактную Smart площадку, монтажную плату, плату управления, плату управления и кабели</t>
    </r>
  </si>
  <si>
    <t>S10113</t>
  </si>
  <si>
    <t>OMNIKEY 5121 Dual Encoding kit</t>
  </si>
  <si>
    <t xml:space="preserve">* Для всех опций кодирования необходимо заказать набор пластин для крепления кодировщика, чтобы завершить установку опций, только одна пластина на принтер.  </t>
  </si>
  <si>
    <t>PM1H00USRS</t>
  </si>
  <si>
    <t>Принтер Primacy Simplex Expert Contactless
Принтер с кодировщиком CAEN RFID UHF R1230CB FCC для бесконтактных карт, портами USB и Ethernet</t>
  </si>
  <si>
    <t>R7H006NAA</t>
  </si>
  <si>
    <t>1/2YMCKO-KO</t>
  </si>
  <si>
    <t>Голографическая лента, 400 отп.</t>
  </si>
  <si>
    <t>R4F027NAA</t>
  </si>
  <si>
    <t>SOKO</t>
  </si>
  <si>
    <t>RTVA015NAA</t>
  </si>
  <si>
    <t>RT5F012NAA</t>
  </si>
  <si>
    <t>YMCKI</t>
  </si>
  <si>
    <t>Лента для полноцветной печати YMCK +  панель со специальным покрытием, предотвращающая печать дизайна на конкретных частях карты, таких как магнитная полоса, чипа и панель подписи. 400 отп.</t>
  </si>
  <si>
    <t>RT5F013NAA</t>
  </si>
  <si>
    <t>RT5F014NAA</t>
  </si>
  <si>
    <t>YMCKH</t>
  </si>
  <si>
    <t>Лента для полноцветной печати YMCK на картах изготовленных не из PVC (ПВХ). Для печати на картах изготовленных из поликарбоната, полиэтилентерефталата PET-G и ABS-пластика. 400 отп.</t>
  </si>
  <si>
    <t xml:space="preserve">YMCFK </t>
  </si>
  <si>
    <t>Опции</t>
  </si>
  <si>
    <t>S10177</t>
  </si>
  <si>
    <t>S10178</t>
  </si>
  <si>
    <r>
      <rPr>
        <b/>
        <sz val="9"/>
        <rFont val="Arial Cyr"/>
        <family val="0"/>
      </rPr>
      <t>Evolis Elyctis Dual encoding kit</t>
    </r>
    <r>
      <rPr>
        <sz val="9"/>
        <rFont val="Arial Cyr"/>
        <family val="0"/>
      </rPr>
      <t xml:space="preserve">
Incl. Evolis Elyctis Dual (IDENTIV chipset) encoder, smart contact station, antenna bracket, daughter board, cables and mounting kit. To be installed by an ERC (Evolis Repair Center) partner.</t>
    </r>
  </si>
  <si>
    <r>
      <rPr>
        <b/>
        <sz val="9"/>
        <rFont val="Arial Cyr"/>
        <family val="0"/>
      </rPr>
      <t>HID veriCLASS Dual encoding kit</t>
    </r>
    <r>
      <rPr>
        <sz val="9"/>
        <rFont val="Arial Cyr"/>
        <family val="0"/>
      </rPr>
      <t xml:space="preserve">
Incl. HID veriCLASS Dual encoder, smart contact station, antenna bracket, daughter board, cables and mounting kit. To be installed by an ERC (Evolis Repair Center) partner.</t>
    </r>
  </si>
  <si>
    <t>ACL007</t>
  </si>
  <si>
    <t>S10149</t>
  </si>
  <si>
    <t>PM1H0000RSL0</t>
  </si>
  <si>
    <t>PM1HB000RSL0</t>
  </si>
  <si>
    <t>PM1H00HSRSL0</t>
  </si>
  <si>
    <t>PM1H0HLBRSL0</t>
  </si>
  <si>
    <t>PM1H0000RDL0</t>
  </si>
  <si>
    <t>LVA038NAA</t>
  </si>
  <si>
    <t>LVA036NAA</t>
  </si>
  <si>
    <t>LVR037NAA</t>
  </si>
  <si>
    <t>LPS032NAA</t>
  </si>
  <si>
    <t>LVA034NAA</t>
  </si>
  <si>
    <t>LPS033NAA</t>
  </si>
  <si>
    <t>LPS028NAA</t>
  </si>
  <si>
    <t>LPS030NAA</t>
  </si>
  <si>
    <t>LPS029NAA</t>
  </si>
  <si>
    <t>LPA047NAA</t>
  </si>
  <si>
    <t>LPA048NAA</t>
  </si>
  <si>
    <t>LPA049NAA</t>
  </si>
  <si>
    <t>ALTERNATE CLEAR PATCH 1.0 MIL (600 prints / roll) FULL / MAG CUT*</t>
  </si>
  <si>
    <t>Evolis Primacy Lamination</t>
  </si>
  <si>
    <t>CBGC0030W</t>
  </si>
  <si>
    <t>CBGC0020W</t>
  </si>
  <si>
    <t>ПВХ BLANK карточки - 20 MIL - 0,50мм - 1 упаковка из 100 карточек</t>
  </si>
  <si>
    <t>dfsdfsdfsdfsdggggggggggggggg</t>
  </si>
  <si>
    <t>VBDG205EU</t>
  </si>
  <si>
    <t xml:space="preserve"> - 1 YMCKO цветная лента на 100 отпечатков</t>
  </si>
  <si>
    <t>Чистые пвх карточки - 30 MIL - 0,76мм - 1 упаковка из 100 карточек</t>
  </si>
  <si>
    <t xml:space="preserve"> - Чистые пвх карточки - 30 MIL - 0,76мм - 1 упаковка из 100 карточек</t>
  </si>
  <si>
    <t xml:space="preserve"> - 1 протирочный комплект (карта, палочка для чистки)</t>
  </si>
  <si>
    <t>Расходники комплект</t>
  </si>
  <si>
    <t>Расходники комплект для 100 цветных отпечатков</t>
  </si>
  <si>
    <t>VBDG204EU</t>
  </si>
  <si>
    <t>Лента и чистка</t>
  </si>
  <si>
    <t>Дизайнерское программное обеспечение</t>
  </si>
  <si>
    <t>BS1UPG011</t>
  </si>
  <si>
    <t>Badge Studio® и Badge Studio®+ , для Badgy100 и Badgy первого поколения</t>
  </si>
  <si>
    <t>Опции для принтеров Zenius</t>
  </si>
  <si>
    <t>Дорожная сумка для  Zenius, Primacy and Elypso , постовляется в картонной коробке</t>
  </si>
  <si>
    <t>S-CP0905</t>
  </si>
  <si>
    <t>Upgrade from cardPresso XXS Lite to XXS</t>
  </si>
  <si>
    <t>S-CP0915</t>
  </si>
  <si>
    <t>Upgrade from cardPresso XXS Lite to XS</t>
  </si>
  <si>
    <t>S-CP0925</t>
  </si>
  <si>
    <t>Upgrade from cardPresso XXS Lite to XM</t>
  </si>
  <si>
    <t>S-CP0935</t>
  </si>
  <si>
    <t>Upgrade from cardPresso XXS Lite to XL</t>
  </si>
  <si>
    <t>S-CP0945</t>
  </si>
  <si>
    <t>Upgrade from cardPresso XXS Lite to XXL</t>
  </si>
  <si>
    <t>S-CP1005</t>
  </si>
  <si>
    <t>S-CP1015</t>
  </si>
  <si>
    <t>S-CP1025</t>
  </si>
  <si>
    <t>S-CP1035</t>
  </si>
  <si>
    <t>S-CP1115</t>
  </si>
  <si>
    <t>S-CP1125</t>
  </si>
  <si>
    <t>S-CP1135</t>
  </si>
  <si>
    <t>S-CP1215</t>
  </si>
  <si>
    <t>S-CP1225</t>
  </si>
  <si>
    <t>S-CP2215</t>
  </si>
  <si>
    <t>Upgrade from cardPresso XXS to XS</t>
  </si>
  <si>
    <t>Upgrade from cardPresso XXS to XM</t>
  </si>
  <si>
    <t>Upgrade from cardPresso XXS to XL</t>
  </si>
  <si>
    <t>Upgrade from cardPresso XXS to XXL</t>
  </si>
  <si>
    <t>Upgrade from cardPresso XS to XM</t>
  </si>
  <si>
    <t>Upgrade from cardPresso XS to XL</t>
  </si>
  <si>
    <t>Upgrade from cardPresso XS to XXL</t>
  </si>
  <si>
    <t>Upgrade from cardPresso XM to XL</t>
  </si>
  <si>
    <t>Upgrade from cardPresso XM to XXL</t>
  </si>
  <si>
    <t>Upgrade from cardPresso XL to XXL</t>
  </si>
  <si>
    <t xml:space="preserve">HID 1346. Бесконтактный брелок ProxKey III </t>
  </si>
  <si>
    <t>Черная монохромная лента + защитное покрытие KO - 600 отпечатков</t>
  </si>
  <si>
    <t>Черная монохромная лента 2000 отпечатков</t>
  </si>
  <si>
    <t>Лента для полноцветной печати YMCKO, 300 отпечатков</t>
  </si>
  <si>
    <t>Лента для полноцветной печати YMCKO, 200 отпечатков</t>
  </si>
  <si>
    <t>Экономичная полупанельная лента для полноцветной печати YMCKO, 400 отпечатков</t>
  </si>
  <si>
    <t>Лента для полноцветной печати YMCKO, 100 отпечатков</t>
  </si>
  <si>
    <t>Синяя монохромная лента, 1000 отпечатков</t>
  </si>
  <si>
    <t>Красная монохромная лента, 1000 отпечатков</t>
  </si>
  <si>
    <t>Зеленая монохромная лента, 1000 отпечатков</t>
  </si>
  <si>
    <t>Белая монохромная лента, 1000 отпечатков</t>
  </si>
  <si>
    <t>Золотая монохромная лента, 1000 отпечатков</t>
  </si>
  <si>
    <t>Серебряная монохромная лента, 1000 отпечатков</t>
  </si>
  <si>
    <t>Скрэтч-лента, 1000 отпечатков</t>
  </si>
  <si>
    <t>Черная монохромная лента для отпечатков АБС и отпечатков со специальным покрытием, 1000 отпечатков</t>
  </si>
  <si>
    <t>Лента для нанесения поля подписи, 1000 отпечатков</t>
  </si>
  <si>
    <t>Голографическая лента, 400 отпечатков</t>
  </si>
  <si>
    <t>Черная монохромная лента + защитное покрытие (KO), 500 отпечатков</t>
  </si>
  <si>
    <t>Голографическая лента, 350 отпечатков</t>
  </si>
  <si>
    <t>Черная монохромная лента, 1000 отпечатков</t>
  </si>
  <si>
    <t>Лента для наниесения поля подписи, 1000 отпечатков</t>
  </si>
  <si>
    <t>Черная монохромная лента, 600 отпечатков</t>
  </si>
  <si>
    <t>Синяя монохромная лента, 600 отпечатков</t>
  </si>
  <si>
    <t>Красная монохромная лента, 600 отпечатков (будет снята с производства в 2015г.)</t>
  </si>
  <si>
    <t>Зеленая монохромная лента, 600 отпечатков  (будет снята с производства в 2015г.)</t>
  </si>
  <si>
    <t>Белая монохромная лента, 500 отпечатков</t>
  </si>
  <si>
    <t>Золотая монохромная лента, 500 отпечатков  (будет снята с производства в 2015г.)</t>
  </si>
  <si>
    <t>Серебряная монохромная лента, 500 отпечатков</t>
  </si>
  <si>
    <t>Черная монохромная лента для отпечатков АБС и отпечатков со специальным покрытием, 600 отпечатков</t>
  </si>
  <si>
    <r>
      <t xml:space="preserve">Черная монохромная лента </t>
    </r>
    <r>
      <rPr>
        <b/>
        <sz val="9"/>
        <rFont val="Arial Cyr"/>
        <family val="0"/>
      </rPr>
      <t xml:space="preserve">(BlackFlex) </t>
    </r>
    <r>
      <rPr>
        <sz val="9"/>
        <rFont val="Arial Cyr"/>
        <family val="0"/>
      </rPr>
      <t>позволяет вам печатать на специальных картах (типа бумажных или, например, АБС карт), которые не совместимы со стандартной черной лентой., 1000 отпечатков</t>
    </r>
  </si>
  <si>
    <r>
      <t xml:space="preserve">Экономичная полупанельная лента для </t>
    </r>
    <r>
      <rPr>
        <b/>
        <sz val="9"/>
        <rFont val="Arial Cyr"/>
        <family val="0"/>
      </rPr>
      <t>двусторонней</t>
    </r>
    <r>
      <rPr>
        <sz val="9"/>
        <rFont val="Arial Cyr"/>
        <family val="0"/>
      </rPr>
      <t xml:space="preserve"> полноцветной печати YMCKO-KO, 250 отпечатков</t>
    </r>
  </si>
  <si>
    <r>
      <t xml:space="preserve">Лента для полноцветной </t>
    </r>
    <r>
      <rPr>
        <b/>
        <sz val="9"/>
        <rFont val="Arial Cyr"/>
        <family val="0"/>
      </rPr>
      <t>двусторонней</t>
    </r>
    <r>
      <rPr>
        <sz val="9"/>
        <rFont val="Arial Cyr"/>
        <family val="0"/>
      </rPr>
      <t xml:space="preserve"> печати 6-панельная YMCKO+K, на 200 отпечатков</t>
    </r>
  </si>
  <si>
    <r>
      <t xml:space="preserve">Лента для монохромной </t>
    </r>
    <r>
      <rPr>
        <b/>
        <sz val="9"/>
        <rFont val="Arial Cyr"/>
        <family val="0"/>
      </rPr>
      <t>двусторонней</t>
    </r>
    <r>
      <rPr>
        <sz val="9"/>
        <rFont val="Arial Cyr"/>
        <family val="0"/>
      </rPr>
      <t xml:space="preserve"> печати Silver &amp; Black - SOKO. 250 отпечатков
Монохромная двусторонняя лента:серебряный-прозрачный + черный-прозрачный</t>
    </r>
  </si>
  <si>
    <t>Полноцветные ленты для Evolis Primacy/Zenius</t>
  </si>
  <si>
    <t>Ленты для двусторонней печати для Primacy</t>
  </si>
  <si>
    <t>Полноцветные ленты для Pebble, Dualys, Securion</t>
  </si>
  <si>
    <t>Монохромные ленты Pebble, Dualys, Securion</t>
  </si>
  <si>
    <t>S10182</t>
  </si>
  <si>
    <t>CAEN RFID UHF FCC encoder, antenna bracket, daughter board and cable(To finalize the installation, it is necessary to order the encoder's mounting plate: S10112)</t>
  </si>
  <si>
    <t>S10207</t>
  </si>
  <si>
    <t>Сенсорный экран ЖК-дисплей установка должна проводиться только с помощью (Сервесного центра) Evolis партнера ERC</t>
  </si>
  <si>
    <t>PM1H0000LS</t>
  </si>
  <si>
    <t>Бесконтактный брелок HID125 кГц (аналог ProxKey III), не оригинал</t>
  </si>
  <si>
    <t>Карта проксимити HID-совместимый, (тонкая 0,76 mm)(Аналог картам HID 1386), не оригинал</t>
  </si>
  <si>
    <t>HID ProxCard® II 1326 Clamshell “толстая” 1.8 мм)</t>
  </si>
  <si>
    <t>Primacy Lamination Simplex Expert Mag ISO Принтер с кодировщиком магнитной полосы ISO Dual HiCo/LoCo 3-х дорожечный, USB и Ethernet</t>
  </si>
  <si>
    <r>
      <t xml:space="preserve">Primacy Lamination </t>
    </r>
    <r>
      <rPr>
        <b/>
        <sz val="9"/>
        <rFont val="Arial Cyr"/>
        <family val="0"/>
      </rPr>
      <t>Односторонний принтер + Двусторонняя ламинация.</t>
    </r>
    <r>
      <rPr>
        <sz val="9"/>
        <rFont val="Arial Cyr"/>
        <family val="0"/>
      </rPr>
      <t xml:space="preserve"> Эксперт красный, Принтер без опций, USB &amp; Ethernet</t>
    </r>
  </si>
  <si>
    <t>Primacy - для односторонней печати и двусторонней ламинации</t>
  </si>
  <si>
    <t>Primacy Lamination Duplex Expert Fire RedExpert printer without option, USB &amp; Ethernet. Принтер для двусторонней печати и ламинации.</t>
  </si>
  <si>
    <t>EA2U0000BS-BS001</t>
  </si>
  <si>
    <t>Edikio: Решения для печати пластиковых ценников</t>
  </si>
  <si>
    <t>EF1H0000XS-BS002</t>
  </si>
  <si>
    <t>ED1H0000CD-BS003</t>
  </si>
  <si>
    <t>RCT052NAA</t>
  </si>
  <si>
    <t>WHITE Monochrome Ribbon - 500 prints / roll</t>
  </si>
  <si>
    <t>EDIKIO ACCESS</t>
  </si>
  <si>
    <t>WHITE Monochrome Ribbon - 1000 prints / roll</t>
  </si>
  <si>
    <t>EDIKIO FLEX, EDIKIO DUPLEX</t>
  </si>
  <si>
    <t>RCT025NAA</t>
  </si>
  <si>
    <t>BLACK Monochrome Ribbon - 500 prints / roll</t>
  </si>
  <si>
    <t>BLACK Monochrome Ribbon - 2000 prints / roll</t>
  </si>
  <si>
    <t>BLUE Monochrome Ribbon - 1000 prints / roll</t>
  </si>
  <si>
    <t>RED Monochrome Ribbon - 1000 prints / roll</t>
  </si>
  <si>
    <t>GREEN Monochrome Ribbon - 1000 prints / roll</t>
  </si>
  <si>
    <t>METALLIC GOLD Monochrome Ribbon - 1000 prints / roll</t>
  </si>
  <si>
    <t>METALLIC SILVER Monochrome Ribbon - 1000 prints / roll</t>
  </si>
  <si>
    <t>KO (Black, Overlay) Ribbon - 600 prints / roll</t>
  </si>
  <si>
    <t>1/2 YMCKO Color Ribbon - 400 prints / roll</t>
  </si>
  <si>
    <t>YMCKO Color Ribbon - 200 prints / roll</t>
  </si>
  <si>
    <t xml:space="preserve"> EDIKIO DUPLEX</t>
  </si>
  <si>
    <t>YMCKO Color Ribbon - 300 prints / roll</t>
  </si>
  <si>
    <t>YMCKO-K Color Ribbon - 200 prints / roll</t>
  </si>
  <si>
    <t>Edikio: Карты для печати</t>
  </si>
  <si>
    <t>C8122</t>
  </si>
  <si>
    <t>C8152</t>
  </si>
  <si>
    <t>C4521</t>
  </si>
  <si>
    <t>C9001</t>
  </si>
  <si>
    <t>PVC BLANK MATT BLACK CARDS - 30 MIL - 5 packs of 100 cards</t>
  </si>
  <si>
    <t>PVC BLANK MATT BLACK LONG CARDS - 20 MIL - 50x120MM - 5 packs of 100 cards</t>
  </si>
  <si>
    <t>PVC BLANK MATT BLACK LONG CARDS - 20 MIL - 50x150MM - 5 packs of 100 cards</t>
  </si>
  <si>
    <t>PVC BLANK CARDS - 30 MIL - 5 packs of 100 cards</t>
  </si>
  <si>
    <t>3TAG CARDS - 30MIL - 1 pack of 100 cards</t>
  </si>
  <si>
    <t>PVC PRE PRINTED CARDS SLATE DESIGN - 30 MIL - 1 pack of 100 cards</t>
  </si>
  <si>
    <t>EDIKIO (Решения для ценников)</t>
  </si>
  <si>
    <t>S10212</t>
  </si>
  <si>
    <t xml:space="preserve">Модуль ламинирования карт </t>
  </si>
  <si>
    <t>Бесконтактный брелок AIRTAG Mifare ID Standard</t>
  </si>
  <si>
    <t>Экономичная панель цифровой подписи Sig100 Lite</t>
  </si>
  <si>
    <t>Компактная панель цифровой подписи с ЖК-дисплеем Sig100</t>
  </si>
  <si>
    <t>ST-BE105-2-UEVL</t>
  </si>
  <si>
    <t>Эргономичная панель цифровой подписи Sig200</t>
  </si>
  <si>
    <t>ST-CE1075-2-UEVL</t>
  </si>
  <si>
    <t>Высокотехнологичная панель цифровой подписи Sig Activ</t>
  </si>
  <si>
    <t>Цифровые панели подписи SIG</t>
  </si>
  <si>
    <t>Панели цифровой подписи Evolis Sig</t>
  </si>
  <si>
    <t xml:space="preserve">Evolis Zenius </t>
  </si>
  <si>
    <t>Zenius Expert Принтер серии Expert, без опций, USB &amp; Ethernet with Cardpresso XXS Lite software licence</t>
  </si>
  <si>
    <t>Primacy LCD Simplex Expert Принтер с сенсорным ЖК-дисплеем, с разъемами USB и Ethernet with Cardpresso XXS software licence</t>
  </si>
  <si>
    <t>Модуль ламинирования</t>
  </si>
  <si>
    <t>Лента ламинационная с голорграммой HOLO VARNISH 1200 отпечатков</t>
  </si>
  <si>
    <t>Лента ламинационная с голорграммой GENERIC HOLO CONTINUOUS VARNISH  1200 отпечатков</t>
  </si>
  <si>
    <t>Лента ламинационная для смарт-карт CLEAR SMART CUT PATCH 0.5 MIL 600отп.</t>
  </si>
  <si>
    <t>Лента ламинационная с голорграммой GENERIC HOLO PATCH 0.6 MIL 600отп.</t>
  </si>
  <si>
    <t>Лента ламинационная с голограммой GENERIC HOLO PATCH 1.0 MIL 600отп.</t>
  </si>
  <si>
    <t>Лента ламинационная  прозрачная сплошная (1200отпечатков в рулоне)</t>
  </si>
  <si>
    <t>Лента ламинационная прозрачнаяCLEAR PATCH 0.5 mil, 600 отп.</t>
  </si>
  <si>
    <t>Лента ламинационная прозрачная CLEAR PATCH 1.0 MIL 600отп.</t>
  </si>
  <si>
    <t>Лента ламинационная прозрачная для смарт-карт CLEAR SMART CUT PATCH 1.0 MIL 600отп.</t>
  </si>
  <si>
    <t>Альтернативная прозрачная защитная пленка для смарт карт ALTERNATE CLEAR PATCH 1.0 MIL 600отп. SMART CUT / FULL*</t>
  </si>
  <si>
    <t>Альтернативная прозрачная защитная пленка для смарт карт и карт с магнитной полосой ALTERNATE CLEAR PATCH 1.0 MIL 600отп. SMART CUT / MAG CUT*</t>
  </si>
  <si>
    <t xml:space="preserve">Сумка для переноски принтера -специальная дорожная сумка  для принтеров Zenius, Primacy и Elypso поставляется в картонной коробке  </t>
  </si>
  <si>
    <t>S10152</t>
  </si>
  <si>
    <t>Специальный пылезащитный чехол для принтеров Primacy</t>
  </si>
  <si>
    <t>PM1H0000RDL1</t>
  </si>
  <si>
    <t>Primacy Lamination LCD Duplex Expert Fire RedExpert printer without option, USB &amp; Ethernet. Принтер с LCD дисплеем для двусторонней печати и ламинации.</t>
  </si>
  <si>
    <t>S10252</t>
  </si>
  <si>
    <t>Модуль ламинирования карт с LCD дисплеем</t>
  </si>
  <si>
    <t>CAEN RFID UHF R1230CB FCC encoding kitIncl. CAEN RFID UHF FCC encoder, antenna bracket, daughter board and cable</t>
  </si>
  <si>
    <t>S10183</t>
  </si>
  <si>
    <t>CAEN RFID UHF R1230CB ETSI encoding kitIncl. CAEN RFID UHF R1230CB ETSI encoder, antenna bracket, daughter board and cable(</t>
  </si>
  <si>
    <t>A5017</t>
  </si>
  <si>
    <t>USB-КАБЕЛЬ (для использования в автономном режиме ламинирования)</t>
  </si>
  <si>
    <t>Набор для чистки принтера  Primacy (5 карт, 5 палочек).</t>
  </si>
  <si>
    <t>Аксессуары и  чистка принтера Evolis Primacy</t>
  </si>
  <si>
    <t>Аксессуары и чистка для принтера Evolis Badgy200</t>
  </si>
  <si>
    <t>Аксессуары и  чистка принтера Evolis Zenius</t>
  </si>
  <si>
    <t>Аксессуары и  чистка принтера Evolis Primacy Lamination</t>
  </si>
  <si>
    <t>Аксессуары и  чистка принтера Evolis Avansia</t>
  </si>
  <si>
    <t>ST-LTE105-2-UEVL</t>
  </si>
  <si>
    <t>ST-GERT-3-UEVL</t>
  </si>
  <si>
    <t>ST-BE105-2-UEVL-MB1</t>
  </si>
  <si>
    <t>ST-CE1075-2-UEVL-MB1</t>
  </si>
  <si>
    <t>ST-GERT-3-UEVL-MB1</t>
  </si>
  <si>
    <t xml:space="preserve">
Комплект Sig100 + signoSign / 2 включает в себя 1xSig100 + 1 CD-ROM с signoSign / 2 и 1 лицензией для неограниченного использования на 1 рабочем месте</t>
  </si>
  <si>
    <t>Комплект Sig200 + signoSign / 2 включает в себя 1xSig100 + 1 CD-ROM с signoSign / 2 и 1 лицензией для неограниченного использования на 1 рабочем месте</t>
  </si>
  <si>
    <t xml:space="preserve">
Комплект Sig Activ + signoSign / 2 включает 1xSig Activ + 1 CD-ROM с SignoSign / 2 и 1 лицензию на неограниченное использование на 1 рабочем месте</t>
  </si>
  <si>
    <t>L8500</t>
  </si>
  <si>
    <t>Лицензия signoSign / 2 - 1 для неограниченного использования на 1 рабочем месте. С помощью signoSign / 2 вы можете создавать и подписывать защищенные документы PDF своей собственной рукописной электронной подписью. Программное обеспечение, разработанное signotec GmbH, совместимо с планшетами для подписи Evolis. Лицензия будет поставляться в виде электронного файла для установки на рабочую станцию. Требуется предварительная бесплатная установка signoSign / 2</t>
  </si>
  <si>
    <t>Чистящие комплекты</t>
  </si>
  <si>
    <t>Силиконовые браслеты Em-marin, Mifare</t>
  </si>
  <si>
    <t>Чистящий комплект для принтера Avansia. Комплектация: 3 тампона</t>
  </si>
  <si>
    <t>Чистящий комплект для принтера Avansia. Комплектация: 3 тампона.</t>
  </si>
  <si>
    <t>Набор для чистки подающих роликов принтера Avansia. Комплектация: 5 чистящих карт</t>
  </si>
  <si>
    <t>Набор для чистки ламинатора - 1 Упаковка из 10 чистящих клейких карт</t>
  </si>
  <si>
    <t>EA2U0000BS-BS011</t>
  </si>
  <si>
    <t>EDIKIO GUEST - ACCESS SOLUTION : 1 Edikio Access принтер односторонний USB                                                       В комплекте: Программное обеспечение для дизайна этикеток и печати - Start edition
100 черных ПВХ-карт формата кредитной карты
1 белая монохромная лента с ресурсом в 500 оттисков</t>
  </si>
  <si>
    <t>EF1H0000XS-BS012</t>
  </si>
  <si>
    <t>EDIKIO GUEST - FLEX SOLUTION
1 принтер Edikio Flex (многоформатный, односторонний, USB и Ethernet
ПО Edikio Guest  версия - Plus edition
В комплекте расходные материалы, безопасные для пищевых продуктов:
200 черных ПВХ-карт (100 формата кредитной карты, 100 удлиненного формата 50x150mm)
1 белая монохромная лента с ресурсом в 1000 оттисков</t>
  </si>
  <si>
    <t>C4301</t>
  </si>
  <si>
    <t>PVC BLANK CARDS - RED - 30MIL - 1 pack of 100 cards</t>
  </si>
  <si>
    <t>C4401</t>
  </si>
  <si>
    <t>PVC BLANK CARDS - GREEN - 30MIL - 1 pack of 100 cards</t>
  </si>
  <si>
    <t>EDIKIO GUEST(Решения для гостиниц)</t>
  </si>
  <si>
    <t>Брелок проксимити Em Marine TK4100 (аналог прокси карты) корпус синий/красный/желтый</t>
  </si>
  <si>
    <t>Белые карты PVC (без печати)</t>
  </si>
  <si>
    <t>Evolis C4001 Классические чистые белые карты - 0.76mm</t>
  </si>
  <si>
    <t>Evolis C8001 Чистые черные карты из PVC-U с матовым покрытием - 0.50mm</t>
  </si>
  <si>
    <t>Evolis C4003 Классические чистые белые карты с магнитной полосой HICO - 0.76mm</t>
  </si>
  <si>
    <t>Карты PVC золото/веребро - 0.76mm,</t>
  </si>
  <si>
    <t xml:space="preserve">Бесконтактные смарт-карты соответствуют международным стандартам                                                                                                       
ISO-14443A, ISO-15693, ISO-18000;                                                                                                                                                                                  </t>
  </si>
  <si>
    <t>Ленты для ламинации</t>
  </si>
  <si>
    <t>LPS034NAA</t>
  </si>
  <si>
    <t>LPS070NAA</t>
  </si>
  <si>
    <t>LPS071NAA</t>
  </si>
  <si>
    <t>LPS064NAA</t>
  </si>
  <si>
    <t>LPA073NAA</t>
  </si>
  <si>
    <t>LPA074NAA</t>
  </si>
  <si>
    <t>LPA072NAA</t>
  </si>
  <si>
    <t>Лента ламинационная прозрачная CLEAR PATCH 1.0MIL 600отп.</t>
  </si>
  <si>
    <t>Лента ламинационная прозрачная для смарт-карт CLEAR SMART CUT PATCH 1.0 MIL 600 отп.(contact us for availability)</t>
  </si>
  <si>
    <t>Альтернативная прозрачная защитная пленка для смарт карт ALTERNATE CLEAR PATCH 1.0 MI L600 отп.SMART CUT / FULL (contact us for availability)</t>
  </si>
  <si>
    <t>Альтернативная прозрачная защитная пленка для смарт карт и карт с магнитной полосой  ALTERNATE CLEAR PATCH 1.0 MIL 600 отп. SMART CUT / MAG CUT (contact us for availability)</t>
  </si>
  <si>
    <t>Альтернативная прозрачная защитная пленка для карт с магнитной полосой ALTERNATE CLEAR PATCH 1.0 MIL 600отп. FULL / MAG CUT*</t>
  </si>
  <si>
    <t>Альтернативная прозрачная защитная пленка для карт с магнитной полосой ALTERNATE CLEAR PATCH 1.0 MIL 600 отп. FULL / MAG CUT (contact us for availability)</t>
  </si>
  <si>
    <t>S10293</t>
  </si>
  <si>
    <t>Модуль ламинирования карт для Avansia</t>
  </si>
  <si>
    <r>
      <rPr>
        <b/>
        <sz val="9"/>
        <rFont val="Arial Cyr"/>
        <family val="0"/>
      </rPr>
      <t xml:space="preserve">Avansia Duplex Expert </t>
    </r>
    <r>
      <rPr>
        <sz val="9"/>
        <rFont val="Arial Cyr"/>
        <family val="0"/>
      </rPr>
      <t xml:space="preserve">
Принтер без опций. Двусторонний, 600 dpi, Память 64 Мб. Интерфейсы: USB и Ethernet и CardPresso XXS</t>
    </r>
  </si>
  <si>
    <r>
      <t xml:space="preserve">Лента для полноцветной печати YMCK + Флуоресцентная панель (K) печатает изображения в оттенках серого и текст, который виден только тогда, когда карта подвергается действию ультрафиолетового (УФ) света.. 400 отп. </t>
    </r>
    <r>
      <rPr>
        <b/>
        <u val="single"/>
        <sz val="10"/>
        <rFont val="Arial Cyr"/>
        <family val="0"/>
      </rPr>
      <t>Для использования даной ленты требуется Cardpresso XL версии.</t>
    </r>
  </si>
  <si>
    <t>PM2-0001-M</t>
  </si>
  <si>
    <t>PM2-0003-M</t>
  </si>
  <si>
    <t>Primacy2 - для односторонней печати</t>
  </si>
  <si>
    <t>PM2-0005</t>
  </si>
  <si>
    <t>PM2-0006</t>
  </si>
  <si>
    <t>PM2-0007</t>
  </si>
  <si>
    <t>PM2-0008</t>
  </si>
  <si>
    <t>PM2-0009</t>
  </si>
  <si>
    <t>PM2-0010</t>
  </si>
  <si>
    <t>PM2-0011</t>
  </si>
  <si>
    <t>PM2-0012</t>
  </si>
  <si>
    <t>Primacy 2 Simplex Expert 
Принтер без опции, USB и Ethernet, с лицензией на программное обеспечение Cardpresso XXS</t>
  </si>
  <si>
    <t>Primacy 2 Simplex Wireless 
Принтер без опции, USB и Wi-Fi, с лицензией на программное обеспечение Cardpresso XXS</t>
  </si>
  <si>
    <t>Primacy 2 Simplex Expert Mag ISO 
Принтер с 3-дорожечным кодировщиком магнитной полосы Mag ISO Dual HiCo/LoCo, USB и Ethernet, 
с лицензией на программное обеспечение Cardpresso XXS</t>
  </si>
  <si>
    <t>Primacy 2 Simplex Expert Smart 
Принтер с кодировщиком смарт-карт Evolis Elyctis Smart, USB и Ethernet, с Cardpresso 
Лицензия на программное обеспечение XXS</t>
  </si>
  <si>
    <t>Primacy 2 Simplex Expert Smart &amp; Contactless 
Принтер с кодировщиком Evolis Elyctis Dual Smart Card и Contactless (чипсет IDENTIV), 
USB и Ethernet, с лицензией на программное обеспечение Cardpresso XXS</t>
  </si>
  <si>
    <t xml:space="preserve">
Primacy 2 Simplex Expert Smart &amp; Contactless 
Принтер с кодировщиком смарт-карт и бесконтактных карт OMNIKEY 5122, USB и Ethernet, с лицензией на программное обеспечение Cardpresso XXS. </t>
  </si>
  <si>
    <t>Primacy 2 Simplex Expert бесконтактный 
Принтер с бесконтактным кодировщиком SpringCard Crazy Writer HSP, USB и Ethernet, с 
Лицензия на программное обеспечение Cardpresso XXS</t>
  </si>
  <si>
    <t>Primacy 2 Simplex Expert Бесконтактный 
Принтер с Elatec TWN4 Legic® NFC EncodeSpringCard Crazy Writer HSP Contactless 
Кодировщик, USB и Ethernet, с лицензией на программное обеспечение Cardpresso XXS</t>
  </si>
  <si>
    <t>Primacy 2 Simplex Expert Scanner 
Принтер с функцией сканера, USB и Ethernet, с лицензией на программное обеспечение Cardpresso XXS</t>
  </si>
  <si>
    <t>Primacy 2 Simplex Expert Kineclipse® 
Принтер с функцией Kineclipse®, USB и Ethernet, с лицензией на программное обеспечение Cardpresso XXS</t>
  </si>
  <si>
    <t>Primacy 2 Simplex Expert Lock 
Принтер с механической системой блокировки, USB и Ethernet, с программным обеспечением Cardpresso XXS 
лицензия</t>
  </si>
  <si>
    <t>Primacy2 - для двусторонней печати</t>
  </si>
  <si>
    <t>PM2-0025-M</t>
  </si>
  <si>
    <t>PM2-0026-M</t>
  </si>
  <si>
    <t>PM2-0027</t>
  </si>
  <si>
    <t>PM2-0028</t>
  </si>
  <si>
    <t>PM2-0029</t>
  </si>
  <si>
    <t>PM2-0030</t>
  </si>
  <si>
    <t>PM2-0031</t>
  </si>
  <si>
    <t>PM2-0032</t>
  </si>
  <si>
    <t>PM2-0033</t>
  </si>
  <si>
    <t>PM2-0034</t>
  </si>
  <si>
    <t>PM2-0035</t>
  </si>
  <si>
    <t>PM2-0036</t>
  </si>
  <si>
    <t>Primacy 2 Duplex Expert 
Принтер без опции, USB и Ethernet, с лицензией на программное обеспечение Cardpresso XXS</t>
  </si>
  <si>
    <t>Primacy Duplex WPrimacy 2 Duplex Wireless 
Принтер без опции, USB и Wi-Fi, с лицензией на программное обеспечение Cardpresso XXSireless Принтер Эксперт без опций, USB и WiFi</t>
  </si>
  <si>
    <t>Primacy 2 Duplex Expert Mag ISO 
Принтер с 3-дорожечным кодировщиком магнитной полосы Mag ISO Dual HiCo/LoCo, USB и Ethernet, 
с лицензией на программное обеспечение Cardpresso XXS</t>
  </si>
  <si>
    <t>Primacy 2 Duplex Expert Smart 
Принтер с кодировщиком смарт-карт Evolis Elyctis Smart, USB и Ethernet, с Cardpresso 
Лицензия на программное обеспечение XXS</t>
  </si>
  <si>
    <t>Primacy 2 Duplex Expert Smart &amp; Contactless 
Принтер с кодировщиком Evolis Elyctis Dual Smart Card и Contactless (чипсет IDENTIV), 
USB и Ethernet, с лицензией на программное обеспечение Cardpresso XXS</t>
  </si>
  <si>
    <t xml:space="preserve">Primacy 2 Duplex Expert Smart &amp; Contactless 
Принтер с кодировщиком смарт-карт и бесконтактных карт OMNIKEY 5122, USB и Ethernet, с лицензией на программное обеспечение Cardpresso XXS. </t>
  </si>
  <si>
    <t>Primacy 2 Duplex Expert Contactless 
Принтер с бесконтактным кодировщиком SpringCard Crazy Writer HSP, USB и Ethernet, с 
Лицензия на программное обеспечение Cardpresso XXS</t>
  </si>
  <si>
    <t>Primacy 2 Duplex Expert Mag ISO, Smart &amp; Contactless 
Принтер с 3-дорожечным кодировщиком магнитной полосы Mag ISO Dual HiCo/LoCo, Evolis Elyctis 
Двойной кодировщик смарт-карт и бесконтактных карт (чипсет IDENTIV), USB и Ethernet, с 
Лицензия на программное обеспечение Cardpresso XXS</t>
  </si>
  <si>
    <t>Primacy 2 Duplex Expert Scanner 
Принтер с функцией сканера, USB и Ethernet, с лицензией на программное обеспечение Cardpresso XXS</t>
  </si>
  <si>
    <t>Primacy 2 Duplex Expert Kineclipse® 
Принтер с функцией Kineclipse®, USB и Ethernet, с лицензией на программное обеспечение Cardpresso XXS</t>
  </si>
  <si>
    <t>Primacy 2 Duplex Expert Lock 
Принтер с механической системой блокировки, USB и Ethernet, с программным обеспечением Cardpresso XXS 
лицензия</t>
  </si>
  <si>
    <t>R5F208M100</t>
  </si>
  <si>
    <t>R5F202M100</t>
  </si>
  <si>
    <t>R5H204M100</t>
  </si>
  <si>
    <t>Ленты для двусторонней печати для Primacy2</t>
  </si>
  <si>
    <t>R7H206NAAA</t>
  </si>
  <si>
    <t>R4F227NAAA</t>
  </si>
  <si>
    <t>R2F210NAAA</t>
  </si>
  <si>
    <t>RCT223NAAA</t>
  </si>
  <si>
    <t>RCT212NAAA</t>
  </si>
  <si>
    <t>RCT213NAAA</t>
  </si>
  <si>
    <t>RCT214NAAA</t>
  </si>
  <si>
    <t>RCT215NAAA</t>
  </si>
  <si>
    <t>RCT216NAAA</t>
  </si>
  <si>
    <t>RCT217NAAA</t>
  </si>
  <si>
    <t>RCT218NAAA</t>
  </si>
  <si>
    <t>RCT219NAAA</t>
  </si>
  <si>
    <t>RCT221NAAA</t>
  </si>
  <si>
    <t>RVA222NAAA</t>
  </si>
  <si>
    <t>PMY2-KTDS</t>
  </si>
  <si>
    <t>Опции для принтеров Primacy2</t>
  </si>
  <si>
    <t>МОДУЛЬ ЛАМИНИРОВАНИЯ КАРТ (CLM). Для автономного использования закажите USB-кабель (арт. A5017).</t>
  </si>
  <si>
    <t>S10388</t>
  </si>
  <si>
    <t>Входной лоток на 200 карт</t>
  </si>
  <si>
    <t>Комплект для кодирования CAEN RFID UHF R1230CB FCC
Включая кодер CAEN RFID UHF FCC, антенный кронштейн, дочернюю плату и кабель
(Для завершения установки необходимо заказать монтажную плату кодера: S10112)</t>
  </si>
  <si>
    <t>S10281</t>
  </si>
  <si>
    <t>Комплект для кодирования Evolis Elyctis Smart
Включая кодировщик Evolis Elyctis Smart, интеллектуальную контактную станцию, дочернюю плату и кабели
(Для завершения установки необходимо заказать монтажную пластину кодера: S10112)</t>
  </si>
  <si>
    <t>Комплект для кодирования Evolis Elyctis Dual
Включает кодировщик Evolis Elyctis Dual (чипсет IDENTIV), интеллектуальную контактную станцию, антенну 
кронштейн, дочерняя плата и кабели
(Для завершения установки необходимо заказать монтажную пластину кодера: S10112)</t>
  </si>
  <si>
    <t xml:space="preserve">Комплект платы расширения 2 слотов SAM для Evolis Elyctis Dual </t>
  </si>
  <si>
    <t>S10280</t>
  </si>
  <si>
    <t>OMNIKEY 5122 Комплект для двойного кодирования
Включая кодер OMNIKEY 5122, интеллектуальную контактную станцию, кронштейн для антенны, дочернюю плату и кабели</t>
  </si>
  <si>
    <t>R6F203M100</t>
  </si>
  <si>
    <t>Evolis Primacy 2</t>
  </si>
  <si>
    <t>PM2-0004</t>
  </si>
  <si>
    <r>
      <rPr>
        <b/>
        <sz val="9"/>
        <rFont val="Arial Cyr"/>
        <family val="0"/>
      </rPr>
      <t xml:space="preserve">Сумка для переноски принтера </t>
    </r>
    <r>
      <rPr>
        <sz val="9"/>
        <rFont val="Arial Cyr"/>
        <family val="0"/>
      </rPr>
      <t xml:space="preserve">-специальная дорожная сумка  для принтеров Zenius, Primacy и Elypso поставляется в картонной коробке  </t>
    </r>
  </si>
  <si>
    <r>
      <t xml:space="preserve">Скидка
</t>
    </r>
    <r>
      <rPr>
        <b/>
        <sz val="14"/>
        <color indexed="10"/>
        <rFont val="Arial"/>
        <family val="2"/>
      </rPr>
      <t xml:space="preserve">(чтобы увидеть ваши цены, вставьте значение скидки в ячейку справа) </t>
    </r>
  </si>
  <si>
    <t>Внутренние курсы валют</t>
  </si>
  <si>
    <t>C4152</t>
  </si>
  <si>
    <t>C4122</t>
  </si>
  <si>
    <t>Длинные черные ПВХ карты 150 мм 20 мил x500</t>
  </si>
  <si>
    <t>Длинные черные ПВХ карты 120 мм 20 мил x500</t>
  </si>
  <si>
    <t>Длинные белые ПВХ карты 150 мм 20 мил x500</t>
  </si>
  <si>
    <t>Длинные белые ПВХ карты 120 мм 20 мил x500</t>
  </si>
  <si>
    <t>Primacy Simplex Expert Принтер Эксперт без опций, USB и Ethernet with Cardpresso XXS software licence</t>
  </si>
  <si>
    <t>Zenius Classic Принтер серии Classic, без опций, USB with Cardpresso XXS Lite software licence</t>
  </si>
  <si>
    <t>Набор для расширенной чистки принтера Zenius, Primacy (2 Т-карты,2 карт, чистящий карандаш, 60 салфток).</t>
  </si>
  <si>
    <t>PM1H0G00RSL0</t>
  </si>
  <si>
    <t>Primacy Lamination Simplex Expert Smart Fire RedPrinter with Evolis Elyctis Smart Smart Card Encoder, USB &amp; Ethernet, with Cardpresso XXS software licence</t>
  </si>
  <si>
    <t>Primacy Lamination Simplex Expert Contactless Fire RedPrinter with SpringCard Crazy Writer HSP Contactless Encoder, USB &amp; Ethernet, with Cardpresso XXS software licence</t>
  </si>
  <si>
    <t>Primacy Lamination Simplex Expert Smart &amp; Contactless Fire RedPrinter with Evolis Elyctis Dual Smart Card and Contactless (IDENTIV chipset) Encoder, USB &amp; Ethernet, with Cardpresso XXS software licence</t>
  </si>
  <si>
    <t>PM1H0OMNRSL0</t>
  </si>
  <si>
    <t>Primacy Lamination Simplex Expert Smart &amp; Contactless Fire RedPrinter with OMNIKEY 5122 Smart Card and Contactless Encoder, USB &amp; Ethernet, with Cardpresso XXS software licence</t>
  </si>
  <si>
    <t>ST-PC020EM Карта EM-Marine, (тонкая 0,8 mm) с №</t>
  </si>
  <si>
    <t>ST-PC020MF Карта Mifare 1K,  (тонкая 0,8 mm) с №</t>
  </si>
  <si>
    <t>ST-PC120EM Карта EM-Marine, (тонкая 0,8 mm) без №</t>
  </si>
  <si>
    <t>Браслеты Proximity EMM, Mifare</t>
  </si>
  <si>
    <t>Карты Proximity EMM, Mifare</t>
  </si>
  <si>
    <t>Карта Комбинированная Em-marine + Mifare</t>
  </si>
  <si>
    <t>Карта Mifare 1К 13,56МГц 0,8мм Fudan FM11RF08</t>
  </si>
  <si>
    <t>Карта Em Marine TK4100 125kHz 1,8 mm (Clamshell)</t>
  </si>
  <si>
    <t>Карта Em Marine TK4100 125kHz 0,8 mm без №</t>
  </si>
  <si>
    <t>Карта Em Marine TK4100 125kHz 0,8 mm с №</t>
  </si>
  <si>
    <t xml:space="preserve">Карта Mifare 4К 0,76мм </t>
  </si>
  <si>
    <t>Карта Mifare UL 0,76мм</t>
  </si>
  <si>
    <t>-</t>
  </si>
  <si>
    <t>N5F208M100</t>
  </si>
  <si>
    <r>
      <t xml:space="preserve">Лента для полноцветной печати </t>
    </r>
    <r>
      <rPr>
        <b/>
        <sz val="9"/>
        <rFont val="Arial Cyr"/>
        <family val="0"/>
      </rPr>
      <t>(Easy4pro)</t>
    </r>
    <r>
      <rPr>
        <sz val="9"/>
        <rFont val="Arial Cyr"/>
        <family val="0"/>
      </rPr>
      <t xml:space="preserve"> YMCKO, 300 отпечатков</t>
    </r>
  </si>
  <si>
    <t>NCT223NAAA</t>
  </si>
  <si>
    <r>
      <t xml:space="preserve">Черная монохромная лента </t>
    </r>
    <r>
      <rPr>
        <b/>
        <sz val="9"/>
        <rFont val="Arial Cyr"/>
        <family val="0"/>
      </rPr>
      <t>(Easy4pro)</t>
    </r>
    <r>
      <rPr>
        <sz val="9"/>
        <rFont val="Arial Cyr"/>
        <family val="0"/>
      </rPr>
      <t xml:space="preserve"> 2000 отпечатков</t>
    </r>
  </si>
  <si>
    <t>N6F203M100</t>
  </si>
  <si>
    <r>
      <t xml:space="preserve">Лента для полноцветной печати </t>
    </r>
    <r>
      <rPr>
        <b/>
        <sz val="9"/>
        <rFont val="Arial Cyr"/>
        <family val="0"/>
      </rPr>
      <t>(Easy4pro)</t>
    </r>
    <r>
      <rPr>
        <sz val="9"/>
        <rFont val="Arial Cyr"/>
        <family val="0"/>
      </rPr>
      <t xml:space="preserve"> YMCKO, 200 отпечатков</t>
    </r>
  </si>
  <si>
    <t>N5H204M100</t>
  </si>
  <si>
    <r>
      <t xml:space="preserve">Экономичная полупанельная лента для полноцветной печати </t>
    </r>
    <r>
      <rPr>
        <b/>
        <sz val="9"/>
        <rFont val="Arial Cyr"/>
        <family val="0"/>
      </rPr>
      <t>(Easy4pro)</t>
    </r>
    <r>
      <rPr>
        <sz val="9"/>
        <rFont val="Arial Cyr"/>
        <family val="0"/>
      </rPr>
      <t xml:space="preserve"> YMCKO, 400 отпечатков</t>
    </r>
  </si>
  <si>
    <t>S10386</t>
  </si>
  <si>
    <t>Touch Screen LCD Display kitincl. Touch Screen LCD display, cable and panelTo be installed by an ERC (Evolis Repair Center) partner</t>
  </si>
  <si>
    <t>PM2-0002-M</t>
  </si>
  <si>
    <t>Primacy 2 LCD Simplex Expert Fire Red
Принтер с сенсорным LCD дисплеем, USB &amp; Ethernet, with Cardpresso XXS software</t>
  </si>
  <si>
    <t>PM2-0013-M</t>
  </si>
  <si>
    <t>Primacy 2 LCD Duplex Expert
Принтер с сенсорным LCD дисплеем, USB &amp; Ethernet, with Cardpresso XXS software</t>
  </si>
  <si>
    <t>PM2-0015</t>
  </si>
  <si>
    <t>Primacy 2 LCD Duplex Expert Mag ISO
Принтер с сенсорным LCD дисплеем, 3-дорожечным кодировщиком магнитной полосы Mag ISO Dual HiCo/LoCo, USB и Ethernet, с лицензией на программное обеспечение Cardpresso XXS</t>
  </si>
  <si>
    <t>PM2-0017</t>
  </si>
  <si>
    <t>Primacy 2 LCD Duplex Expert Mag ISO
Принтер с сенсорным LCD дисплеем, кодировщиком Evolis Elyctis Dual Smart Card и Contactless (чипсет IDENTIV), USB и Ethernet, с лицензией на программное обеспечение Cardpresso XXS</t>
  </si>
  <si>
    <t>PM2-0019</t>
  </si>
  <si>
    <t>Primacy 2 LCD Duplex Expert Mag ISO
Принтер с сенсорным LCD дисплеем, Elatec TWN4 Legic® NFC EncodeSpringCard Crazy Writer HSP Contactless 
Кодировщик, USB и Ethernet, с лицензией на программное обеспечение Cardpresso XXS</t>
  </si>
  <si>
    <t>Primacy 2 Duplex Expert Contactless 
Принтер с Elatec TWN4 Legic® NFC EncodeSpringCard Crazy Writer HSP Contactless Кодировщик, USB и Ethernet, с лицензией на программное обеспечение Cardpresso XXS</t>
  </si>
  <si>
    <t>PM2-0042</t>
  </si>
  <si>
    <t>Primacy 2 Duplex Expert Lock 
Принтер с Mag ISO Dual HiCo/LoCo 3-track magnetic stripe encoder, Evolis Elyctis
Smart, Smart Card Encoder, USB &amp; Ethernet, с программным обеспечением Cardpresso XXS 
лицензия</t>
  </si>
  <si>
    <t xml:space="preserve">R6F207NAAA </t>
  </si>
  <si>
    <t>YMCKOO</t>
  </si>
  <si>
    <t>Лента красящая, с двойным оверлеем, на 250 отпечатков</t>
  </si>
  <si>
    <t>Акционные товары</t>
  </si>
  <si>
    <t>Акционная цена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</si>
  <si>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</si>
  <si>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</si>
  <si>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</si>
  <si>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</si>
  <si>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</si>
  <si>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</si>
  <si>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</si>
  <si>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</si>
  <si>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</si>
  <si>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</si>
  <si>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WRS 05 Браслет силиконовый, чип Em Marine 125kHz</t>
  </si>
  <si>
    <t>G01 Браслет силиконовый, чип Em Marine 125kHz</t>
  </si>
  <si>
    <t>G09 Браслет силиконовый, чип Mifare 13,56МГц</t>
  </si>
  <si>
    <t>Сенсорный экран ЖК-дисплей (установка должна проводиться только с помощью Сервисного центра)</t>
  </si>
  <si>
    <r>
      <t xml:space="preserve">Edikio Duplex - универсальное решение для создания и печати ваших ценников на пластиковых картах как стандартных так и удлененных. Идеально подходит для печати любых объемов ценников, стильных пластиковых карточек. Данное решение используется в магазинах, кофейнях, ресторанах, винных магазинах. 
В комплект поставки входит: 
1) Принтер Edikio Duplex для печати пластиковых карт размером для печати </t>
    </r>
    <r>
      <rPr>
        <b/>
        <sz val="9"/>
        <rFont val="Arial Cyr"/>
        <family val="0"/>
      </rPr>
      <t>карт 54х86мм</t>
    </r>
    <r>
      <rPr>
        <sz val="9"/>
        <rFont val="Arial Cyr"/>
        <family val="0"/>
      </rPr>
      <t xml:space="preserve">, а также длинных </t>
    </r>
    <r>
      <rPr>
        <b/>
        <sz val="9"/>
        <rFont val="Arial Cyr"/>
        <family val="0"/>
      </rPr>
      <t>карт 50х120мм и 50х150мм. Двусторонний</t>
    </r>
    <r>
      <rPr>
        <sz val="9"/>
        <rFont val="Arial Cyr"/>
        <family val="0"/>
      </rPr>
      <t xml:space="preserve">, интерфейсы USB и Ethernet.
2) Программное обеспечение </t>
    </r>
    <r>
      <rPr>
        <b/>
        <sz val="9"/>
        <rFont val="Arial Cyr"/>
        <family val="0"/>
      </rPr>
      <t xml:space="preserve">Edikio – версия Pro </t>
    </r>
    <r>
      <rPr>
        <sz val="9"/>
        <rFont val="Arial Cyr"/>
        <family val="0"/>
      </rPr>
      <t>для создания и печати пластиковых карт. 
3) Расходные материалы, безопасные для пищевых продуктов:
200 черных ПВХ-карт (100 размером 54х86мм, 100 длинных карт размером 50х150мм)
1 белая монохромная лента с ресурсом в 1000 отпечатков</t>
    </r>
  </si>
  <si>
    <r>
      <t xml:space="preserve">Edikio Flex - универсальное решение для создания и печати ваших ценников на пластиковых картах как стандартных так и удлененных. Идеально подходит для печати любых объемов ценников, стильных пластиковых карточек. Данное решение используется в магазинах, кофейнях, ресторанах, винных магазинах. 
В комплект поставки входит: 
1) Принтер Edikio Flex для печати пластиковых карт размером для печати </t>
    </r>
    <r>
      <rPr>
        <b/>
        <sz val="9"/>
        <rFont val="Arial Cyr"/>
        <family val="0"/>
      </rPr>
      <t>карт 54х86мм,</t>
    </r>
    <r>
      <rPr>
        <sz val="9"/>
        <rFont val="Arial Cyr"/>
        <family val="0"/>
      </rPr>
      <t xml:space="preserve"> а также длинных </t>
    </r>
    <r>
      <rPr>
        <b/>
        <sz val="9"/>
        <rFont val="Arial Cyr"/>
        <family val="0"/>
      </rPr>
      <t>карт 50х120мм и 50х150мм.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>Односторонний</t>
    </r>
    <r>
      <rPr>
        <sz val="9"/>
        <rFont val="Arial Cyr"/>
        <family val="0"/>
      </rPr>
      <t xml:space="preserve">, интерфейсы USB и Ethernet.
2) Программное обеспечение </t>
    </r>
    <r>
      <rPr>
        <b/>
        <sz val="9"/>
        <rFont val="Arial Cyr"/>
        <family val="0"/>
      </rPr>
      <t>Edikio – версия Standard</t>
    </r>
    <r>
      <rPr>
        <sz val="9"/>
        <rFont val="Arial Cyr"/>
        <family val="0"/>
      </rPr>
      <t xml:space="preserve"> для создания и печати пластиковых карт. 
3) Расходные материалы, безопасные для пищевых продуктов:
200 черных ПВХ-карт (100 размером 54х86мм, 100 длинных карт размером 50х150мм)
1 белая монохромная лента с ресурсом в 1000 отпечатков</t>
    </r>
  </si>
  <si>
    <r>
      <t>Edikio Access - Компактное и универсальное решение для создания и печати ваших ценников на пластиковых картах. Идеально подходит для печати небольших объемов ценников, стильных пластиковых карточек. Данное решение используется в магазинах, кофейнях, ресторанах, винных магазинах. 
В комплект поставки входит: 
1) Принтер Edikio Access для печати</t>
    </r>
    <r>
      <rPr>
        <b/>
        <sz val="9"/>
        <rFont val="Arial Cyr"/>
        <family val="0"/>
      </rPr>
      <t xml:space="preserve"> карт размером 54х86мм. </t>
    </r>
    <r>
      <rPr>
        <sz val="9"/>
        <rFont val="Arial Cyr"/>
        <family val="0"/>
      </rPr>
      <t xml:space="preserve">Односторонний, интерфейс USB.
2) Программное обеспечение </t>
    </r>
    <r>
      <rPr>
        <b/>
        <sz val="9"/>
        <rFont val="Arial Cyr"/>
        <family val="0"/>
      </rPr>
      <t xml:space="preserve">Edikio – версия Lite </t>
    </r>
    <r>
      <rPr>
        <sz val="9"/>
        <rFont val="Arial Cyr"/>
        <family val="0"/>
      </rPr>
      <t>для создания и печати пластиковых карт. 
3) Расходные материалы, безопасные для пищевых продуктов:
100 черных ПВХ-карт формата кредитной карты
1 белая монохромная лента с ресурсом на 500 отпечатков</t>
    </r>
  </si>
  <si>
    <r>
      <t xml:space="preserve">Evolis Primacy </t>
    </r>
    <r>
      <rPr>
        <b/>
        <u val="single"/>
        <sz val="14"/>
        <color indexed="63"/>
        <rFont val="Arial Cyr"/>
        <family val="0"/>
      </rPr>
      <t>(Снят с производства)</t>
    </r>
  </si>
</sst>
</file>

<file path=xl/styles.xml><?xml version="1.0" encoding="utf-8"?>
<styleSheet xmlns="http://schemas.openxmlformats.org/spreadsheetml/2006/main">
  <numFmts count="20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\ _₸_-;\-* #,##0\ _₸_-;_-* &quot;-&quot;\ _₸_-;_-@_-"/>
    <numFmt numFmtId="165" formatCode="_-* #,##0.00\ _₸_-;\-* #,##0.00\ _₸_-;_-* &quot;-&quot;??\ _₸_-;_-@_-"/>
    <numFmt numFmtId="166" formatCode="_-* #,##0\ _₽_-;\-* #,##0\ _₽_-;_-* &quot;-&quot;\ _₽_-;_-@_-"/>
    <numFmt numFmtId="167" formatCode="_-* #,##0.00\ _₽_-;\-* #,##0.00\ _₽_-;_-* &quot;-&quot;??\ _₽_-;_-@_-"/>
    <numFmt numFmtId="168" formatCode="#,##0.00_ ;\-#,##0.00\ "/>
    <numFmt numFmtId="169" formatCode="0.0000"/>
    <numFmt numFmtId="170" formatCode="#,##0_ ;\-#,##0\ 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8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b/>
      <sz val="9"/>
      <color indexed="10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0"/>
      <name val="Arial Cyr"/>
      <family val="0"/>
    </font>
    <font>
      <u val="single"/>
      <sz val="14"/>
      <color indexed="12"/>
      <name val="Arial Cyr"/>
      <family val="0"/>
    </font>
    <font>
      <sz val="14"/>
      <name val="Arial Cyr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4"/>
      <color indexed="55"/>
      <name val="Arial"/>
      <family val="2"/>
    </font>
    <font>
      <sz val="14"/>
      <color indexed="8"/>
      <name val="Arial"/>
      <family val="2"/>
    </font>
    <font>
      <u val="single"/>
      <sz val="14"/>
      <color indexed="12"/>
      <name val="Arial"/>
      <family val="2"/>
    </font>
    <font>
      <b/>
      <u val="single"/>
      <sz val="14"/>
      <color indexed="6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mbria"/>
      <family val="1"/>
    </font>
    <font>
      <b/>
      <sz val="10"/>
      <color indexed="10"/>
      <name val="Arial Cyr"/>
      <family val="0"/>
    </font>
    <font>
      <sz val="9"/>
      <color indexed="10"/>
      <name val="arial cyr"/>
      <family val="0"/>
    </font>
    <font>
      <sz val="10"/>
      <color indexed="10"/>
      <name val="arial cyr"/>
      <family val="0"/>
    </font>
    <font>
      <sz val="14"/>
      <color indexed="9"/>
      <name val="Arial Cyr"/>
      <family val="0"/>
    </font>
    <font>
      <sz val="10"/>
      <color indexed="8"/>
      <name val="Montserrat"/>
      <family val="0"/>
    </font>
    <font>
      <b/>
      <sz val="12"/>
      <color indexed="9"/>
      <name val="Arial Cyr"/>
      <family val="0"/>
    </font>
    <font>
      <b/>
      <sz val="11"/>
      <color indexed="10"/>
      <name val="Cambria"/>
      <family val="1"/>
    </font>
    <font>
      <b/>
      <u val="single"/>
      <sz val="14"/>
      <color indexed="10"/>
      <name val="Arial Cyr"/>
      <family val="0"/>
    </font>
    <font>
      <sz val="14"/>
      <color indexed="10"/>
      <name val="Arial"/>
      <family val="2"/>
    </font>
    <font>
      <b/>
      <sz val="12"/>
      <name val="Cambria"/>
      <family val="1"/>
    </font>
    <font>
      <b/>
      <sz val="14"/>
      <color indexed="8"/>
      <name val="Calibri"/>
      <family val="2"/>
    </font>
    <font>
      <b/>
      <sz val="14"/>
      <color indexed="30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mbria"/>
      <family val="1"/>
    </font>
    <font>
      <b/>
      <sz val="10"/>
      <color rgb="FFFF0000"/>
      <name val="Arial Cyr"/>
      <family val="0"/>
    </font>
    <font>
      <sz val="9"/>
      <color rgb="FFFF0000"/>
      <name val="arial cyr"/>
      <family val="0"/>
    </font>
    <font>
      <b/>
      <sz val="9"/>
      <color rgb="FFFF0000"/>
      <name val="Arial Cyr"/>
      <family val="0"/>
    </font>
    <font>
      <sz val="10"/>
      <color rgb="FFFF0000"/>
      <name val="arial cyr"/>
      <family val="0"/>
    </font>
    <font>
      <sz val="14"/>
      <color theme="0"/>
      <name val="Arial Cyr"/>
      <family val="0"/>
    </font>
    <font>
      <sz val="10"/>
      <color rgb="FF000000"/>
      <name val="Montserrat"/>
      <family val="0"/>
    </font>
    <font>
      <b/>
      <sz val="12"/>
      <color theme="0"/>
      <name val="Arial Cyr"/>
      <family val="0"/>
    </font>
    <font>
      <b/>
      <sz val="11"/>
      <color rgb="FFFF0000"/>
      <name val="Cambria"/>
      <family val="1"/>
    </font>
    <font>
      <b/>
      <sz val="11"/>
      <color rgb="FF000000"/>
      <name val="Cambria"/>
      <family val="1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u val="single"/>
      <sz val="14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>
        <color indexed="63"/>
      </top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75" fillId="33" borderId="13" xfId="0" applyFont="1" applyFill="1" applyBorder="1" applyAlignment="1">
      <alignment horizontal="center" vertical="center" wrapText="1"/>
    </xf>
    <xf numFmtId="0" fontId="75" fillId="33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11" xfId="0" applyFont="1" applyBorder="1" applyAlignment="1">
      <alignment vertical="center"/>
    </xf>
    <xf numFmtId="168" fontId="4" fillId="0" borderId="18" xfId="0" applyNumberFormat="1" applyFont="1" applyBorder="1" applyAlignment="1">
      <alignment horizontal="center"/>
    </xf>
    <xf numFmtId="0" fontId="2" fillId="0" borderId="16" xfId="0" applyFont="1" applyFill="1" applyBorder="1" applyAlignment="1">
      <alignment/>
    </xf>
    <xf numFmtId="0" fontId="0" fillId="0" borderId="0" xfId="0" applyBorder="1" applyAlignment="1">
      <alignment/>
    </xf>
    <xf numFmtId="170" fontId="4" fillId="0" borderId="1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76" fillId="0" borderId="0" xfId="0" applyFont="1" applyAlignment="1">
      <alignment/>
    </xf>
    <xf numFmtId="0" fontId="2" fillId="34" borderId="16" xfId="0" applyFont="1" applyFill="1" applyBorder="1" applyAlignment="1">
      <alignment/>
    </xf>
    <xf numFmtId="170" fontId="4" fillId="34" borderId="18" xfId="0" applyNumberFormat="1" applyFont="1" applyFill="1" applyBorder="1" applyAlignment="1">
      <alignment horizontal="center"/>
    </xf>
    <xf numFmtId="0" fontId="4" fillId="34" borderId="16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19" xfId="0" applyFont="1" applyFill="1" applyBorder="1" applyAlignment="1">
      <alignment wrapText="1"/>
    </xf>
    <xf numFmtId="170" fontId="4" fillId="0" borderId="18" xfId="0" applyNumberFormat="1" applyFont="1" applyBorder="1" applyAlignment="1">
      <alignment horizontal="center"/>
    </xf>
    <xf numFmtId="170" fontId="4" fillId="0" borderId="20" xfId="0" applyNumberFormat="1" applyFont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70" fontId="4" fillId="34" borderId="2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170" fontId="4" fillId="0" borderId="18" xfId="0" applyNumberFormat="1" applyFont="1" applyBorder="1" applyAlignment="1">
      <alignment horizontal="center" vertical="center"/>
    </xf>
    <xf numFmtId="0" fontId="75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77" fillId="0" borderId="11" xfId="0" applyFont="1" applyBorder="1" applyAlignment="1">
      <alignment/>
    </xf>
    <xf numFmtId="170" fontId="78" fillId="0" borderId="18" xfId="0" applyNumberFormat="1" applyFont="1" applyFill="1" applyBorder="1" applyAlignment="1">
      <alignment horizontal="center"/>
    </xf>
    <xf numFmtId="0" fontId="79" fillId="0" borderId="0" xfId="0" applyFont="1" applyAlignment="1">
      <alignment/>
    </xf>
    <xf numFmtId="0" fontId="4" fillId="34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0" fontId="4" fillId="34" borderId="18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70" fontId="4" fillId="0" borderId="2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34" borderId="11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170" fontId="4" fillId="0" borderId="2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70" fontId="4" fillId="0" borderId="18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70" fontId="4" fillId="0" borderId="2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76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75" fillId="0" borderId="21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2" fillId="0" borderId="2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Border="1" applyAlignment="1">
      <alignment/>
    </xf>
    <xf numFmtId="170" fontId="4" fillId="0" borderId="2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70" fontId="4" fillId="0" borderId="0" xfId="0" applyNumberFormat="1" applyFont="1" applyBorder="1" applyAlignment="1">
      <alignment horizontal="center"/>
    </xf>
    <xf numFmtId="170" fontId="4" fillId="0" borderId="10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left"/>
    </xf>
    <xf numFmtId="170" fontId="4" fillId="0" borderId="25" xfId="0" applyNumberFormat="1" applyFont="1" applyBorder="1" applyAlignment="1">
      <alignment horizontal="center"/>
    </xf>
    <xf numFmtId="0" fontId="2" fillId="0" borderId="25" xfId="0" applyFont="1" applyFill="1" applyBorder="1" applyAlignment="1">
      <alignment horizontal="left"/>
    </xf>
    <xf numFmtId="0" fontId="0" fillId="0" borderId="22" xfId="0" applyFill="1" applyBorder="1" applyAlignment="1">
      <alignment/>
    </xf>
    <xf numFmtId="14" fontId="6" fillId="0" borderId="21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8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70" fontId="4" fillId="0" borderId="30" xfId="0" applyNumberFormat="1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32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70" fontId="4" fillId="0" borderId="17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ill="1" applyBorder="1" applyAlignment="1">
      <alignment/>
    </xf>
    <xf numFmtId="0" fontId="2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ill="1" applyBorder="1" applyAlignment="1">
      <alignment/>
    </xf>
    <xf numFmtId="170" fontId="4" fillId="0" borderId="37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wrapText="1"/>
    </xf>
    <xf numFmtId="3" fontId="2" fillId="34" borderId="15" xfId="0" applyNumberFormat="1" applyFont="1" applyFill="1" applyBorder="1" applyAlignment="1">
      <alignment/>
    </xf>
    <xf numFmtId="0" fontId="4" fillId="0" borderId="11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170" fontId="4" fillId="34" borderId="10" xfId="0" applyNumberFormat="1" applyFont="1" applyFill="1" applyBorder="1" applyAlignment="1">
      <alignment horizontal="center"/>
    </xf>
    <xf numFmtId="170" fontId="4" fillId="0" borderId="10" xfId="0" applyNumberFormat="1" applyFont="1" applyFill="1" applyBorder="1" applyAlignment="1">
      <alignment horizontal="center"/>
    </xf>
    <xf numFmtId="170" fontId="4" fillId="0" borderId="2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9" fontId="9" fillId="0" borderId="0" xfId="0" applyNumberFormat="1" applyFont="1" applyAlignment="1">
      <alignment horizontal="right"/>
    </xf>
    <xf numFmtId="0" fontId="4" fillId="34" borderId="10" xfId="0" applyFont="1" applyFill="1" applyBorder="1" applyAlignment="1">
      <alignment vertical="center"/>
    </xf>
    <xf numFmtId="170" fontId="4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/>
    </xf>
    <xf numFmtId="169" fontId="20" fillId="0" borderId="0" xfId="0" applyNumberFormat="1" applyFont="1" applyAlignment="1">
      <alignment/>
    </xf>
    <xf numFmtId="169" fontId="21" fillId="0" borderId="0" xfId="34" applyNumberFormat="1" applyFont="1" applyFill="1" applyBorder="1" applyAlignment="1">
      <alignment horizontal="right" vertical="center"/>
      <protection/>
    </xf>
    <xf numFmtId="169" fontId="21" fillId="0" borderId="0" xfId="34" applyNumberFormat="1" applyFont="1" applyFill="1" applyBorder="1" applyAlignment="1">
      <alignment vertical="center"/>
      <protection/>
    </xf>
    <xf numFmtId="0" fontId="17" fillId="0" borderId="0" xfId="0" applyFont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169" fontId="22" fillId="0" borderId="0" xfId="44" applyNumberFormat="1" applyFont="1" applyFill="1" applyBorder="1" applyAlignment="1" applyProtection="1">
      <alignment horizontal="right" vertical="center"/>
      <protection/>
    </xf>
    <xf numFmtId="0" fontId="80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81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2" fillId="34" borderId="22" xfId="0" applyFont="1" applyFill="1" applyBorder="1" applyAlignment="1">
      <alignment horizontal="left"/>
    </xf>
    <xf numFmtId="0" fontId="2" fillId="34" borderId="21" xfId="0" applyFont="1" applyFill="1" applyBorder="1" applyAlignment="1">
      <alignment horizontal="left"/>
    </xf>
    <xf numFmtId="0" fontId="75" fillId="0" borderId="13" xfId="0" applyFont="1" applyFill="1" applyBorder="1" applyAlignment="1">
      <alignment horizontal="center" vertical="center" wrapText="1"/>
    </xf>
    <xf numFmtId="0" fontId="75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3" fontId="2" fillId="0" borderId="40" xfId="0" applyNumberFormat="1" applyFont="1" applyBorder="1" applyAlignment="1">
      <alignment/>
    </xf>
    <xf numFmtId="170" fontId="4" fillId="35" borderId="18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0" fontId="82" fillId="36" borderId="41" xfId="44" applyFont="1" applyFill="1" applyBorder="1" applyAlignment="1" applyProtection="1">
      <alignment horizontal="center"/>
      <protection/>
    </xf>
    <xf numFmtId="0" fontId="83" fillId="0" borderId="14" xfId="0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 horizontal="center" vertical="center"/>
    </xf>
    <xf numFmtId="170" fontId="78" fillId="0" borderId="10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/>
    </xf>
    <xf numFmtId="170" fontId="4" fillId="0" borderId="19" xfId="0" applyNumberFormat="1" applyFont="1" applyFill="1" applyBorder="1" applyAlignment="1">
      <alignment horizontal="center"/>
    </xf>
    <xf numFmtId="170" fontId="78" fillId="0" borderId="19" xfId="0" applyNumberFormat="1" applyFont="1" applyFill="1" applyBorder="1" applyAlignment="1">
      <alignment horizontal="center"/>
    </xf>
    <xf numFmtId="0" fontId="84" fillId="0" borderId="13" xfId="0" applyFont="1" applyBorder="1" applyAlignment="1">
      <alignment horizontal="center" vertical="center" wrapText="1"/>
    </xf>
    <xf numFmtId="0" fontId="84" fillId="0" borderId="42" xfId="0" applyFont="1" applyBorder="1" applyAlignment="1">
      <alignment horizontal="center" vertical="center" wrapText="1"/>
    </xf>
    <xf numFmtId="171" fontId="16" fillId="0" borderId="0" xfId="44" applyNumberFormat="1" applyFont="1" applyAlignment="1" applyProtection="1">
      <alignment horizontal="left"/>
      <protection/>
    </xf>
    <xf numFmtId="0" fontId="85" fillId="0" borderId="10" xfId="33" applyFont="1" applyFill="1" applyBorder="1" applyAlignment="1">
      <alignment horizontal="center" vertical="center" wrapText="1"/>
      <protection/>
    </xf>
    <xf numFmtId="0" fontId="86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71" fontId="16" fillId="0" borderId="0" xfId="44" applyNumberFormat="1" applyFont="1" applyFill="1" applyAlignment="1" applyProtection="1">
      <alignment horizontal="left"/>
      <protection/>
    </xf>
    <xf numFmtId="171" fontId="87" fillId="0" borderId="0" xfId="44" applyNumberFormat="1" applyFont="1" applyFill="1" applyAlignment="1" applyProtection="1">
      <alignment horizontal="left"/>
      <protection/>
    </xf>
    <xf numFmtId="0" fontId="82" fillId="36" borderId="41" xfId="44" applyFont="1" applyFill="1" applyBorder="1" applyAlignment="1" applyProtection="1">
      <alignment horizontal="center"/>
      <protection/>
    </xf>
    <xf numFmtId="0" fontId="75" fillId="0" borderId="43" xfId="0" applyFont="1" applyFill="1" applyBorder="1" applyAlignment="1">
      <alignment horizontal="center" vertical="center" wrapText="1"/>
    </xf>
    <xf numFmtId="0" fontId="75" fillId="0" borderId="4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51" fillId="31" borderId="44" xfId="0" applyFont="1" applyFill="1" applyBorder="1" applyAlignment="1">
      <alignment horizontal="center"/>
    </xf>
    <xf numFmtId="0" fontId="51" fillId="31" borderId="45" xfId="0" applyFont="1" applyFill="1" applyBorder="1" applyAlignment="1">
      <alignment horizontal="center"/>
    </xf>
    <xf numFmtId="0" fontId="51" fillId="31" borderId="46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75" fillId="0" borderId="10" xfId="0" applyFont="1" applyFill="1" applyBorder="1" applyAlignment="1">
      <alignment vertical="center" wrapText="1"/>
    </xf>
    <xf numFmtId="0" fontId="75" fillId="0" borderId="17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22" xfId="0" applyFont="1" applyFill="1" applyBorder="1" applyAlignment="1">
      <alignment horizontal="left" vertical="center" wrapText="1"/>
    </xf>
    <xf numFmtId="0" fontId="75" fillId="0" borderId="25" xfId="0" applyFont="1" applyFill="1" applyBorder="1" applyAlignment="1">
      <alignment horizontal="left" vertical="center" wrapText="1"/>
    </xf>
    <xf numFmtId="0" fontId="75" fillId="0" borderId="21" xfId="0" applyFont="1" applyFill="1" applyBorder="1" applyAlignment="1">
      <alignment horizontal="left" vertical="center" wrapText="1"/>
    </xf>
    <xf numFmtId="0" fontId="75" fillId="37" borderId="22" xfId="0" applyFont="1" applyFill="1" applyBorder="1" applyAlignment="1">
      <alignment horizontal="left" vertical="center" wrapText="1"/>
    </xf>
    <xf numFmtId="0" fontId="75" fillId="37" borderId="25" xfId="0" applyFont="1" applyFill="1" applyBorder="1" applyAlignment="1">
      <alignment horizontal="left" vertical="center" wrapText="1"/>
    </xf>
    <xf numFmtId="0" fontId="75" fillId="37" borderId="2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5" fillId="0" borderId="22" xfId="0" applyFont="1" applyBorder="1" applyAlignment="1">
      <alignment horizontal="left" vertical="center" wrapText="1"/>
    </xf>
    <xf numFmtId="0" fontId="75" fillId="0" borderId="25" xfId="0" applyFont="1" applyBorder="1" applyAlignment="1">
      <alignment horizontal="left" vertical="center" wrapText="1"/>
    </xf>
    <xf numFmtId="0" fontId="75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75" fillId="0" borderId="0" xfId="0" applyFont="1" applyAlignment="1">
      <alignment horizontal="left" vertical="center" wrapText="1"/>
    </xf>
    <xf numFmtId="0" fontId="75" fillId="0" borderId="38" xfId="0" applyFont="1" applyBorder="1" applyAlignment="1">
      <alignment horizontal="left" vertical="center" wrapText="1"/>
    </xf>
    <xf numFmtId="0" fontId="75" fillId="35" borderId="22" xfId="0" applyFont="1" applyFill="1" applyBorder="1" applyAlignment="1">
      <alignment horizontal="center" vertical="center" wrapText="1"/>
    </xf>
    <xf numFmtId="0" fontId="75" fillId="35" borderId="25" xfId="0" applyFont="1" applyFill="1" applyBorder="1" applyAlignment="1">
      <alignment horizontal="center" vertical="center" wrapText="1"/>
    </xf>
    <xf numFmtId="0" fontId="75" fillId="35" borderId="21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0" fontId="75" fillId="0" borderId="25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35" borderId="22" xfId="0" applyFont="1" applyFill="1" applyBorder="1" applyAlignment="1">
      <alignment horizontal="left" wrapText="1"/>
    </xf>
    <xf numFmtId="0" fontId="2" fillId="35" borderId="21" xfId="0" applyFont="1" applyFill="1" applyBorder="1" applyAlignment="1">
      <alignment horizontal="left" wrapText="1"/>
    </xf>
    <xf numFmtId="0" fontId="2" fillId="35" borderId="22" xfId="0" applyFont="1" applyFill="1" applyBorder="1" applyAlignment="1">
      <alignment horizontal="left" vertical="center" wrapText="1"/>
    </xf>
    <xf numFmtId="0" fontId="2" fillId="35" borderId="21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4" fillId="34" borderId="47" xfId="0" applyFont="1" applyFill="1" applyBorder="1" applyAlignment="1">
      <alignment vertical="center" wrapText="1"/>
    </xf>
    <xf numFmtId="0" fontId="4" fillId="34" borderId="48" xfId="0" applyFont="1" applyFill="1" applyBorder="1" applyAlignment="1">
      <alignment vertical="center" wrapText="1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51" fillId="31" borderId="51" xfId="0" applyFont="1" applyFill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22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34" borderId="26" xfId="0" applyFont="1" applyFill="1" applyBorder="1" applyAlignment="1">
      <alignment horizontal="left"/>
    </xf>
    <xf numFmtId="0" fontId="2" fillId="34" borderId="27" xfId="0" applyFont="1" applyFill="1" applyBorder="1" applyAlignment="1">
      <alignment horizontal="left"/>
    </xf>
    <xf numFmtId="0" fontId="2" fillId="0" borderId="52" xfId="0" applyFont="1" applyBorder="1" applyAlignment="1">
      <alignment horizontal="left" wrapText="1"/>
    </xf>
    <xf numFmtId="0" fontId="2" fillId="0" borderId="53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9" xfId="0" applyFont="1" applyFill="1" applyBorder="1" applyAlignment="1">
      <alignment horizontal="left" wrapText="1"/>
    </xf>
    <xf numFmtId="0" fontId="2" fillId="0" borderId="48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4" fillId="34" borderId="35" xfId="0" applyFont="1" applyFill="1" applyBorder="1" applyAlignment="1">
      <alignment horizontal="left" wrapText="1"/>
    </xf>
    <xf numFmtId="0" fontId="4" fillId="34" borderId="36" xfId="0" applyFont="1" applyFill="1" applyBorder="1" applyAlignment="1">
      <alignment horizontal="left" wrapText="1"/>
    </xf>
    <xf numFmtId="0" fontId="2" fillId="34" borderId="39" xfId="0" applyFont="1" applyFill="1" applyBorder="1" applyAlignment="1">
      <alignment horizontal="left" wrapText="1"/>
    </xf>
    <xf numFmtId="0" fontId="2" fillId="34" borderId="48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75" fillId="33" borderId="43" xfId="0" applyFont="1" applyFill="1" applyBorder="1" applyAlignment="1">
      <alignment horizontal="center" vertical="center" wrapText="1"/>
    </xf>
    <xf numFmtId="0" fontId="75" fillId="33" borderId="4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34" borderId="22" xfId="0" applyFont="1" applyFill="1" applyBorder="1" applyAlignment="1">
      <alignment horizontal="left"/>
    </xf>
    <xf numFmtId="0" fontId="2" fillId="34" borderId="21" xfId="0" applyFont="1" applyFill="1" applyBorder="1" applyAlignment="1">
      <alignment horizontal="left"/>
    </xf>
    <xf numFmtId="0" fontId="2" fillId="0" borderId="39" xfId="0" applyFont="1" applyBorder="1" applyAlignment="1">
      <alignment horizontal="left" wrapText="1"/>
    </xf>
    <xf numFmtId="0" fontId="2" fillId="0" borderId="48" xfId="0" applyFont="1" applyBorder="1" applyAlignment="1">
      <alignment horizontal="left" wrapText="1"/>
    </xf>
    <xf numFmtId="0" fontId="2" fillId="0" borderId="2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51" fillId="31" borderId="44" xfId="0" applyFont="1" applyFill="1" applyBorder="1" applyAlignment="1">
      <alignment horizontal="center" wrapText="1"/>
    </xf>
    <xf numFmtId="0" fontId="51" fillId="31" borderId="45" xfId="0" applyFont="1" applyFill="1" applyBorder="1" applyAlignment="1">
      <alignment horizontal="center" wrapText="1"/>
    </xf>
    <xf numFmtId="0" fontId="51" fillId="31" borderId="46" xfId="0" applyFont="1" applyFill="1" applyBorder="1" applyAlignment="1">
      <alignment horizontal="center" wrapText="1"/>
    </xf>
    <xf numFmtId="0" fontId="2" fillId="34" borderId="39" xfId="0" applyFont="1" applyFill="1" applyBorder="1" applyAlignment="1">
      <alignment horizontal="left" vertical="center" wrapText="1"/>
    </xf>
    <xf numFmtId="0" fontId="2" fillId="34" borderId="48" xfId="0" applyFont="1" applyFill="1" applyBorder="1" applyAlignment="1">
      <alignment horizontal="left" vertical="center" wrapText="1"/>
    </xf>
    <xf numFmtId="0" fontId="4" fillId="0" borderId="39" xfId="0" applyFont="1" applyBorder="1" applyAlignment="1">
      <alignment horizontal="left" wrapText="1"/>
    </xf>
    <xf numFmtId="0" fontId="4" fillId="0" borderId="39" xfId="0" applyFont="1" applyFill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84" fillId="0" borderId="44" xfId="0" applyFont="1" applyBorder="1" applyAlignment="1">
      <alignment horizontal="center" vertical="center" wrapText="1"/>
    </xf>
    <xf numFmtId="0" fontId="84" fillId="0" borderId="5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2" fillId="0" borderId="10" xfId="0" applyFont="1" applyBorder="1" applyAlignment="1">
      <alignment horizontal="left"/>
    </xf>
    <xf numFmtId="0" fontId="77" fillId="0" borderId="22" xfId="0" applyFont="1" applyBorder="1" applyAlignment="1">
      <alignment horizontal="left"/>
    </xf>
    <xf numFmtId="0" fontId="77" fillId="0" borderId="21" xfId="0" applyFont="1" applyBorder="1" applyAlignment="1">
      <alignment horizontal="left"/>
    </xf>
    <xf numFmtId="0" fontId="51" fillId="31" borderId="49" xfId="0" applyFont="1" applyFill="1" applyBorder="1" applyAlignment="1">
      <alignment horizontal="center"/>
    </xf>
    <xf numFmtId="0" fontId="51" fillId="31" borderId="50" xfId="0" applyFont="1" applyFill="1" applyBorder="1" applyAlignment="1">
      <alignment horizontal="center"/>
    </xf>
    <xf numFmtId="0" fontId="51" fillId="31" borderId="57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34" borderId="35" xfId="0" applyFont="1" applyFill="1" applyBorder="1" applyAlignment="1">
      <alignment horizontal="left" wrapText="1"/>
    </xf>
    <xf numFmtId="0" fontId="2" fillId="34" borderId="36" xfId="0" applyFont="1" applyFill="1" applyBorder="1" applyAlignment="1">
      <alignment horizontal="left" wrapText="1"/>
    </xf>
    <xf numFmtId="0" fontId="2" fillId="0" borderId="35" xfId="0" applyFont="1" applyBorder="1" applyAlignment="1">
      <alignment horizontal="left"/>
    </xf>
    <xf numFmtId="0" fontId="2" fillId="0" borderId="35" xfId="0" applyFont="1" applyFill="1" applyBorder="1" applyAlignment="1">
      <alignment horizontal="left" wrapText="1"/>
    </xf>
    <xf numFmtId="0" fontId="2" fillId="0" borderId="36" xfId="0" applyFont="1" applyFill="1" applyBorder="1" applyAlignment="1">
      <alignment horizontal="lef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Style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idsmart.kz/" TargetMode="External" /><Relationship Id="rId3" Type="http://schemas.openxmlformats.org/officeDocument/2006/relationships/hyperlink" Target="http://idsmart.kz/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idsmart.kz/" TargetMode="External" /><Relationship Id="rId6" Type="http://schemas.openxmlformats.org/officeDocument/2006/relationships/hyperlink" Target="http://idsmart.kz/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idsmart.kz/" TargetMode="External" /><Relationship Id="rId9" Type="http://schemas.openxmlformats.org/officeDocument/2006/relationships/hyperlink" Target="http://idsmart.kz/" TargetMode="External" /><Relationship Id="rId10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idsmart.kz/" TargetMode="External" /><Relationship Id="rId3" Type="http://schemas.openxmlformats.org/officeDocument/2006/relationships/hyperlink" Target="http://idsmart.kz/" TargetMode="External" /><Relationship Id="rId4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2</xdr:row>
      <xdr:rowOff>123825</xdr:rowOff>
    </xdr:from>
    <xdr:to>
      <xdr:col>17</xdr:col>
      <xdr:colOff>19050</xdr:colOff>
      <xdr:row>11</xdr:row>
      <xdr:rowOff>66675</xdr:rowOff>
    </xdr:to>
    <xdr:pic>
      <xdr:nvPicPr>
        <xdr:cNvPr id="1" name="Рисунок 4" descr="Evolis card printer 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47675"/>
          <a:ext cx="534352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21</xdr:row>
      <xdr:rowOff>9525</xdr:rowOff>
    </xdr:from>
    <xdr:to>
      <xdr:col>14</xdr:col>
      <xdr:colOff>590550</xdr:colOff>
      <xdr:row>23</xdr:row>
      <xdr:rowOff>114300</xdr:rowOff>
    </xdr:to>
    <xdr:pic>
      <xdr:nvPicPr>
        <xdr:cNvPr id="2" name="Рисунок 7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96075" y="5334000"/>
          <a:ext cx="3514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209550</xdr:colOff>
      <xdr:row>11</xdr:row>
      <xdr:rowOff>38100</xdr:rowOff>
    </xdr:from>
    <xdr:ext cx="209550" cy="257175"/>
    <xdr:sp fLocksText="0">
      <xdr:nvSpPr>
        <xdr:cNvPr id="3" name="TextBox 1"/>
        <xdr:cNvSpPr txBox="1">
          <a:spLocks noChangeArrowheads="1"/>
        </xdr:cNvSpPr>
      </xdr:nvSpPr>
      <xdr:spPr>
        <a:xfrm>
          <a:off x="3067050" y="26955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57150</xdr:colOff>
      <xdr:row>16</xdr:row>
      <xdr:rowOff>38100</xdr:rowOff>
    </xdr:from>
    <xdr:ext cx="247650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3590925" y="40290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9</xdr:col>
      <xdr:colOff>504825</xdr:colOff>
      <xdr:row>13</xdr:row>
      <xdr:rowOff>66675</xdr:rowOff>
    </xdr:from>
    <xdr:to>
      <xdr:col>14</xdr:col>
      <xdr:colOff>476250</xdr:colOff>
      <xdr:row>22</xdr:row>
      <xdr:rowOff>66675</xdr:rowOff>
    </xdr:to>
    <xdr:pic>
      <xdr:nvPicPr>
        <xdr:cNvPr id="5" name="Рисунок 9" descr="https://www.interactcard.com.au/images/jpg/adwords/evolis-logo-distributor.pn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43700" y="3257550"/>
          <a:ext cx="335280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66675</xdr:rowOff>
    </xdr:from>
    <xdr:to>
      <xdr:col>10</xdr:col>
      <xdr:colOff>133350</xdr:colOff>
      <xdr:row>6</xdr:row>
      <xdr:rowOff>371475</xdr:rowOff>
    </xdr:to>
    <xdr:grpSp>
      <xdr:nvGrpSpPr>
        <xdr:cNvPr id="6" name="Группа 5"/>
        <xdr:cNvGrpSpPr>
          <a:grpSpLocks/>
        </xdr:cNvGrpSpPr>
      </xdr:nvGrpSpPr>
      <xdr:grpSpPr>
        <a:xfrm>
          <a:off x="247650" y="66675"/>
          <a:ext cx="6800850" cy="1276350"/>
          <a:chOff x="188259" y="50268"/>
          <a:chExt cx="5741518" cy="1345196"/>
        </a:xfrm>
        <a:solidFill>
          <a:srgbClr val="FFFFFF"/>
        </a:solidFill>
      </xdr:grpSpPr>
      <xdr:sp>
        <xdr:nvSpPr>
          <xdr:cNvPr id="7" name="Скругленный прямоугольник 3"/>
          <xdr:cNvSpPr>
            <a:spLocks/>
          </xdr:cNvSpPr>
        </xdr:nvSpPr>
        <xdr:spPr>
          <a:xfrm>
            <a:off x="2446111" y="50268"/>
            <a:ext cx="3483666" cy="1345196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ТОО "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ID Smart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"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        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Республика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Казахстан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г. Алматы, ул.  Толе би 187к2, офис 205                           
Тел.:  8 (727) 357 35 57        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Моб.: 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8 (771)790 00 88
</a:t>
            </a:r>
            <a:r>
              <a:rPr lang="en-US" cap="none" sz="1400" b="1" i="0" u="none" baseline="0">
                <a:solidFill>
                  <a:srgbClr val="0066CC"/>
                </a:solidFill>
              </a:rPr>
              <a:t>www.idsmart.kz</a:t>
            </a:r>
            <a:r>
              <a:rPr lang="en-US" cap="none" sz="1400" b="1" i="0" u="none" baseline="0">
                <a:solidFill>
                  <a:srgbClr val="0066CC"/>
                </a:solidFill>
              </a:rPr>
              <a:t> </a:t>
            </a:r>
          </a:p>
        </xdr:txBody>
      </xdr:sp>
      <xdr:pic>
        <xdr:nvPicPr>
          <xdr:cNvPr id="8" name="Рисунок 4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188259" y="297448"/>
            <a:ext cx="2283689" cy="4671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5</xdr:col>
      <xdr:colOff>57150</xdr:colOff>
      <xdr:row>17</xdr:row>
      <xdr:rowOff>38100</xdr:rowOff>
    </xdr:from>
    <xdr:ext cx="247650" cy="266700"/>
    <xdr:sp fLocksText="0">
      <xdr:nvSpPr>
        <xdr:cNvPr id="9" name="TextBox 41"/>
        <xdr:cNvSpPr txBox="1">
          <a:spLocks noChangeArrowheads="1"/>
        </xdr:cNvSpPr>
      </xdr:nvSpPr>
      <xdr:spPr>
        <a:xfrm>
          <a:off x="3590925" y="42957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1</xdr:row>
      <xdr:rowOff>0</xdr:rowOff>
    </xdr:from>
    <xdr:to>
      <xdr:col>12</xdr:col>
      <xdr:colOff>790575</xdr:colOff>
      <xdr:row>12</xdr:row>
      <xdr:rowOff>0</xdr:rowOff>
    </xdr:to>
    <xdr:sp>
      <xdr:nvSpPr>
        <xdr:cNvPr id="1" name="Скругленный прямоугольник 3"/>
        <xdr:cNvSpPr>
          <a:spLocks/>
        </xdr:cNvSpPr>
      </xdr:nvSpPr>
      <xdr:spPr>
        <a:xfrm>
          <a:off x="6086475" y="161925"/>
          <a:ext cx="4562475" cy="1876425"/>
        </a:xfrm>
        <a:prstGeom prst="round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ТОО "</a:t>
          </a:r>
          <a:r>
            <a:rPr lang="en-US" cap="none" sz="1100" b="1" i="0" u="none" baseline="0">
              <a:solidFill>
                <a:srgbClr val="000000"/>
              </a:solidFill>
            </a:rPr>
            <a:t>ID</a:t>
          </a:r>
          <a:r>
            <a:rPr lang="en-US" cap="none" sz="1100" b="1" i="0" u="none" baseline="0">
              <a:solidFill>
                <a:srgbClr val="000000"/>
              </a:solidFill>
            </a:rPr>
            <a:t> Smart</a:t>
          </a:r>
          <a:r>
            <a:rPr lang="en-US" cap="none" sz="1100" b="1" i="0" u="none" baseline="0">
              <a:solidFill>
                <a:srgbClr val="000000"/>
              </a:solidFill>
            </a:rPr>
            <a:t>"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 в </a:t>
          </a:r>
          <a:r>
            <a:rPr lang="en-US" cap="none" sz="1100" b="1" i="0" u="none" baseline="0">
              <a:solidFill>
                <a:srgbClr val="000000"/>
              </a:solidFill>
            </a:rPr>
            <a:t>г. Алматы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ул. Толе</a:t>
          </a:r>
          <a:r>
            <a:rPr lang="en-US" cap="none" sz="1100" b="1" i="0" u="none" baseline="0">
              <a:solidFill>
                <a:srgbClr val="000000"/>
              </a:solidFill>
            </a:rPr>
            <a:t> би 187к2</a:t>
          </a:r>
          <a:r>
            <a:rPr lang="en-US" cap="none" sz="1100" b="1" i="0" u="none" baseline="0">
              <a:solidFill>
                <a:srgbClr val="000000"/>
              </a:solidFill>
            </a:rPr>
            <a:t>, оф.205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тел.: +7 (727) 357 35 57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Филиал ТОО "</a:t>
          </a:r>
          <a:r>
            <a:rPr lang="en-US" cap="none" sz="1100" b="1" i="0" u="none" baseline="0">
              <a:solidFill>
                <a:srgbClr val="000000"/>
              </a:solidFill>
            </a:rPr>
            <a:t>ID Smart" </a:t>
          </a:r>
          <a:r>
            <a:rPr lang="en-US" cap="none" sz="1100" b="1" i="0" u="none" baseline="0">
              <a:solidFill>
                <a:srgbClr val="000000"/>
              </a:solidFill>
            </a:rPr>
            <a:t>в г. Нур-Султан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ул. Майлина 19, офис 600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тел.: +7 (7172) 64-35-57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e-mail: </a:t>
          </a:r>
          <a:r>
            <a:rPr lang="en-US" cap="none" sz="1100" b="1" i="0" u="sng" baseline="0">
              <a:solidFill>
                <a:srgbClr val="000000"/>
              </a:solidFill>
            </a:rPr>
            <a:t>info@idsmart.kz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web site: </a:t>
          </a:r>
          <a:r>
            <a:rPr lang="en-US" cap="none" sz="1100" b="1" i="0" u="sng" baseline="0">
              <a:solidFill>
                <a:srgbClr val="000000"/>
              </a:solidFill>
            </a:rPr>
            <a:t>www.idsmart.kz</a:t>
          </a:r>
          <a:r>
            <a:rPr lang="en-US" cap="none" sz="1100" b="1" i="0" u="none" baseline="0">
              <a:solidFill>
                <a:srgbClr val="000000"/>
              </a:solidFill>
            </a:rPr>
            <a:t> /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sng" baseline="0">
              <a:solidFill>
                <a:srgbClr val="000000"/>
              </a:solidFill>
            </a:rPr>
            <a:t>www.aps-shop.kz</a:t>
          </a:r>
        </a:p>
      </xdr:txBody>
    </xdr:sp>
    <xdr:clientData/>
  </xdr:twoCellAnchor>
  <xdr:twoCellAnchor editAs="oneCell">
    <xdr:from>
      <xdr:col>3</xdr:col>
      <xdr:colOff>1962150</xdr:colOff>
      <xdr:row>0</xdr:row>
      <xdr:rowOff>47625</xdr:rowOff>
    </xdr:from>
    <xdr:to>
      <xdr:col>7</xdr:col>
      <xdr:colOff>257175</xdr:colOff>
      <xdr:row>11</xdr:row>
      <xdr:rowOff>57150</xdr:rowOff>
    </xdr:to>
    <xdr:pic>
      <xdr:nvPicPr>
        <xdr:cNvPr id="2" name="Рисунок 4" descr="https://www.interactcard.com.au/images/jpg/adwords/evolis-logo-distributor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7625"/>
          <a:ext cx="24955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3</xdr:row>
      <xdr:rowOff>47625</xdr:rowOff>
    </xdr:from>
    <xdr:to>
      <xdr:col>3</xdr:col>
      <xdr:colOff>1152525</xdr:colOff>
      <xdr:row>5</xdr:row>
      <xdr:rowOff>133350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" y="533400"/>
          <a:ext cx="2714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914400</xdr:colOff>
      <xdr:row>6</xdr:row>
      <xdr:rowOff>57150</xdr:rowOff>
    </xdr:from>
    <xdr:ext cx="533400" cy="323850"/>
    <xdr:sp>
      <xdr:nvSpPr>
        <xdr:cNvPr id="1" name="TextBox 1"/>
        <xdr:cNvSpPr txBox="1">
          <a:spLocks noChangeArrowheads="1"/>
        </xdr:cNvSpPr>
      </xdr:nvSpPr>
      <xdr:spPr>
        <a:xfrm>
          <a:off x="9782175" y="1476375"/>
          <a:ext cx="533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0</xdr:row>
      <xdr:rowOff>0</xdr:rowOff>
    </xdr:from>
    <xdr:to>
      <xdr:col>12</xdr:col>
      <xdr:colOff>209550</xdr:colOff>
      <xdr:row>11</xdr:row>
      <xdr:rowOff>104775</xdr:rowOff>
    </xdr:to>
    <xdr:pic>
      <xdr:nvPicPr>
        <xdr:cNvPr id="1" name="Рисунок 1" descr="https://ru.evolis.com/sites/default/files/thumbnails/image/ev0153_accessoires_web-640x4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0"/>
          <a:ext cx="556260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1</xdr:row>
      <xdr:rowOff>0</xdr:rowOff>
    </xdr:from>
    <xdr:to>
      <xdr:col>12</xdr:col>
      <xdr:colOff>209550</xdr:colOff>
      <xdr:row>4</xdr:row>
      <xdr:rowOff>1590675</xdr:rowOff>
    </xdr:to>
    <xdr:pic>
      <xdr:nvPicPr>
        <xdr:cNvPr id="1" name="Рисунок 1" descr="https://ru.evolis.com/sites/default/files/thumbnails/image/ev0153_accessoires_web-640x4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209550"/>
          <a:ext cx="5562600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17</xdr:row>
      <xdr:rowOff>0</xdr:rowOff>
    </xdr:from>
    <xdr:to>
      <xdr:col>0</xdr:col>
      <xdr:colOff>704850</xdr:colOff>
      <xdr:row>17</xdr:row>
      <xdr:rowOff>0</xdr:rowOff>
    </xdr:to>
    <xdr:pic>
      <xdr:nvPicPr>
        <xdr:cNvPr id="1" name="Picture 4" descr="evolis_logo_partners_100p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657725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2</xdr:row>
      <xdr:rowOff>76200</xdr:rowOff>
    </xdr:from>
    <xdr:to>
      <xdr:col>2</xdr:col>
      <xdr:colOff>1838325</xdr:colOff>
      <xdr:row>6</xdr:row>
      <xdr:rowOff>66675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400050"/>
          <a:ext cx="3600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3514725</xdr:colOff>
      <xdr:row>1</xdr:row>
      <xdr:rowOff>38100</xdr:rowOff>
    </xdr:from>
    <xdr:to>
      <xdr:col>3</xdr:col>
      <xdr:colOff>514350</xdr:colOff>
      <xdr:row>7</xdr:row>
      <xdr:rowOff>114300</xdr:rowOff>
    </xdr:to>
    <xdr:sp>
      <xdr:nvSpPr>
        <xdr:cNvPr id="3" name="Скругленный прямоугольник 9"/>
        <xdr:cNvSpPr>
          <a:spLocks/>
        </xdr:cNvSpPr>
      </xdr:nvSpPr>
      <xdr:spPr>
        <a:xfrm>
          <a:off x="6705600" y="200025"/>
          <a:ext cx="3619500" cy="1047750"/>
        </a:xfrm>
        <a:prstGeom prst="round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              ТОО "</a:t>
          </a:r>
          <a:r>
            <a:rPr lang="en-US" cap="none" sz="1200" b="1" i="0" u="none" baseline="0">
              <a:solidFill>
                <a:srgbClr val="000000"/>
              </a:solidFill>
            </a:rPr>
            <a:t>ID Smart</a:t>
          </a:r>
          <a:r>
            <a:rPr lang="en-US" cap="none" sz="1200" b="1" i="0" u="none" baseline="0">
              <a:solidFill>
                <a:srgbClr val="000000"/>
              </a:solidFill>
            </a:rPr>
            <a:t>"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          </a:t>
          </a:r>
          <a:r>
            <a:rPr lang="en-US" cap="none" sz="1200" b="1" i="0" u="none" baseline="0">
              <a:solidFill>
                <a:srgbClr val="000000"/>
              </a:solidFill>
            </a:rPr>
            <a:t>РК,</a:t>
          </a:r>
          <a:r>
            <a:rPr lang="en-US" cap="none" sz="1200" b="1" i="0" u="none" baseline="0">
              <a:solidFill>
                <a:srgbClr val="000000"/>
              </a:solidFill>
            </a:rPr>
            <a:t> г. Алматы, ул.  Толе би 187к2, офис 205                           Тел.:  8 (727) 317-40-02, 8 (727) 357 35 57         Моб.:  8 (777) </a:t>
          </a:r>
          <a:r>
            <a:rPr lang="en-US" cap="none" sz="1200" b="1" i="0" u="none" baseline="0">
              <a:solidFill>
                <a:srgbClr val="000000"/>
              </a:solidFill>
            </a:rPr>
            <a:t>277-02-90; 8 (747) 848-63-48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914400</xdr:colOff>
      <xdr:row>5</xdr:row>
      <xdr:rowOff>57150</xdr:rowOff>
    </xdr:from>
    <xdr:ext cx="523875" cy="323850"/>
    <xdr:sp>
      <xdr:nvSpPr>
        <xdr:cNvPr id="1" name="TextBox 7"/>
        <xdr:cNvSpPr txBox="1">
          <a:spLocks noChangeArrowheads="1"/>
        </xdr:cNvSpPr>
      </xdr:nvSpPr>
      <xdr:spPr>
        <a:xfrm>
          <a:off x="9220200" y="1009650"/>
          <a:ext cx="523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7:BX33"/>
  <sheetViews>
    <sheetView tabSelected="1" zoomScale="85" zoomScaleNormal="85" zoomScalePageLayoutView="0" workbookViewId="0" topLeftCell="A3">
      <selection activeCell="W24" sqref="W24"/>
    </sheetView>
  </sheetViews>
  <sheetFormatPr defaultColWidth="8.875" defaultRowHeight="12.75"/>
  <cols>
    <col min="1" max="1" width="10.875" style="0" bestFit="1" customWidth="1"/>
  </cols>
  <sheetData>
    <row r="7" spans="1:76" s="31" customFormat="1" ht="54" customHeight="1">
      <c r="A7" s="31">
        <v>1</v>
      </c>
      <c r="B7" s="151" t="s">
        <v>123</v>
      </c>
      <c r="C7" s="151"/>
      <c r="D7" s="151"/>
      <c r="E7" s="151"/>
      <c r="F7" s="151"/>
      <c r="G7" s="151"/>
      <c r="H7" s="151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</row>
    <row r="8" spans="2:76" s="31" customFormat="1" ht="15.75">
      <c r="B8" s="152" t="s">
        <v>124</v>
      </c>
      <c r="C8" s="152"/>
      <c r="D8" s="152"/>
      <c r="E8" s="152"/>
      <c r="F8" s="152"/>
      <c r="G8" s="152"/>
      <c r="H8" s="152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</row>
    <row r="9" spans="1:76" s="30" customFormat="1" ht="21" customHeight="1">
      <c r="A9" s="115" t="s">
        <v>681</v>
      </c>
      <c r="B9" s="154" t="s">
        <v>679</v>
      </c>
      <c r="C9" s="154"/>
      <c r="D9" s="154"/>
      <c r="E9" s="154"/>
      <c r="F9" s="154"/>
      <c r="G9" s="154"/>
      <c r="H9" s="154"/>
      <c r="I9" s="154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</row>
    <row r="10" spans="1:76" s="30" customFormat="1" ht="21" customHeight="1">
      <c r="A10" s="115" t="s">
        <v>682</v>
      </c>
      <c r="B10" s="153" t="s">
        <v>620</v>
      </c>
      <c r="C10" s="153"/>
      <c r="D10" s="153"/>
      <c r="E10" s="153"/>
      <c r="F10" s="153"/>
      <c r="G10" s="153"/>
      <c r="H10" s="153"/>
      <c r="I10" s="153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</row>
    <row r="11" spans="1:76" s="30" customFormat="1" ht="21" customHeight="1">
      <c r="A11" s="115" t="s">
        <v>683</v>
      </c>
      <c r="B11" s="148" t="s">
        <v>698</v>
      </c>
      <c r="C11" s="148"/>
      <c r="D11" s="148"/>
      <c r="E11" s="148"/>
      <c r="F11" s="148"/>
      <c r="G11" s="148"/>
      <c r="H11" s="148"/>
      <c r="I11" s="148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</row>
    <row r="12" spans="1:76" s="30" customFormat="1" ht="21" customHeight="1">
      <c r="A12" s="115" t="s">
        <v>684</v>
      </c>
      <c r="B12" s="148" t="s">
        <v>316</v>
      </c>
      <c r="C12" s="148"/>
      <c r="D12" s="148"/>
      <c r="E12" s="148"/>
      <c r="F12" s="148"/>
      <c r="G12" s="148"/>
      <c r="H12" s="148"/>
      <c r="I12" s="148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</row>
    <row r="13" spans="1:9" ht="21" customHeight="1">
      <c r="A13" s="115" t="s">
        <v>685</v>
      </c>
      <c r="B13" s="148" t="s">
        <v>460</v>
      </c>
      <c r="C13" s="148"/>
      <c r="D13" s="148"/>
      <c r="E13" s="148"/>
      <c r="F13" s="148"/>
      <c r="G13" s="148"/>
      <c r="H13" s="148"/>
      <c r="I13" s="148"/>
    </row>
    <row r="14" spans="1:9" ht="21" customHeight="1">
      <c r="A14" s="115" t="s">
        <v>686</v>
      </c>
      <c r="B14" s="148" t="s">
        <v>238</v>
      </c>
      <c r="C14" s="148"/>
      <c r="D14" s="148"/>
      <c r="E14" s="148"/>
      <c r="F14" s="148"/>
      <c r="G14" s="148"/>
      <c r="H14" s="148"/>
      <c r="I14" s="148"/>
    </row>
    <row r="15" spans="1:9" ht="21" customHeight="1">
      <c r="A15" s="115" t="s">
        <v>687</v>
      </c>
      <c r="B15" s="148" t="s">
        <v>178</v>
      </c>
      <c r="C15" s="148"/>
      <c r="D15" s="148"/>
      <c r="E15" s="148"/>
      <c r="F15" s="148"/>
      <c r="G15" s="148"/>
      <c r="H15" s="148"/>
      <c r="I15" s="148"/>
    </row>
    <row r="16" spans="1:9" ht="21" customHeight="1">
      <c r="A16" s="115" t="s">
        <v>688</v>
      </c>
      <c r="B16" s="148" t="s">
        <v>459</v>
      </c>
      <c r="C16" s="148"/>
      <c r="D16" s="148"/>
      <c r="E16" s="148"/>
      <c r="F16" s="148"/>
      <c r="G16" s="148"/>
      <c r="H16" s="148"/>
      <c r="I16" s="148"/>
    </row>
    <row r="17" spans="1:9" ht="21" customHeight="1">
      <c r="A17" s="115" t="s">
        <v>689</v>
      </c>
      <c r="B17" s="148" t="s">
        <v>448</v>
      </c>
      <c r="C17" s="148"/>
      <c r="D17" s="148"/>
      <c r="E17" s="148"/>
      <c r="F17" s="148"/>
      <c r="G17" s="148"/>
      <c r="H17" s="148"/>
      <c r="I17" s="148"/>
    </row>
    <row r="18" spans="1:9" ht="21" customHeight="1">
      <c r="A18" s="115" t="s">
        <v>690</v>
      </c>
      <c r="B18" s="148" t="s">
        <v>517</v>
      </c>
      <c r="C18" s="148"/>
      <c r="D18" s="148"/>
      <c r="E18" s="148"/>
      <c r="F18" s="148"/>
      <c r="G18" s="148"/>
      <c r="H18" s="148"/>
      <c r="I18" s="148"/>
    </row>
    <row r="19" spans="1:9" ht="21" customHeight="1">
      <c r="A19" s="31">
        <v>2</v>
      </c>
      <c r="B19" s="151" t="s">
        <v>126</v>
      </c>
      <c r="C19" s="151"/>
      <c r="D19" s="151"/>
      <c r="E19" s="151"/>
      <c r="F19" s="151"/>
      <c r="G19" s="151"/>
      <c r="H19" s="151"/>
      <c r="I19" s="32"/>
    </row>
    <row r="20" spans="1:9" ht="21" customHeight="1">
      <c r="A20" s="30">
        <v>2.1</v>
      </c>
      <c r="B20" s="148" t="s">
        <v>127</v>
      </c>
      <c r="C20" s="148"/>
      <c r="D20" s="148"/>
      <c r="E20" s="148"/>
      <c r="F20" s="148"/>
      <c r="G20" s="148"/>
      <c r="H20" s="148"/>
      <c r="I20" s="148"/>
    </row>
    <row r="21" spans="1:9" ht="21" customHeight="1">
      <c r="A21" s="30">
        <v>2.2</v>
      </c>
      <c r="B21" s="148" t="s">
        <v>129</v>
      </c>
      <c r="C21" s="148"/>
      <c r="D21" s="148"/>
      <c r="E21" s="148"/>
      <c r="F21" s="148"/>
      <c r="G21" s="148"/>
      <c r="H21" s="148"/>
      <c r="I21" s="148"/>
    </row>
    <row r="22" spans="1:9" ht="21" customHeight="1">
      <c r="A22" s="30">
        <v>2.3</v>
      </c>
      <c r="B22" s="148" t="s">
        <v>130</v>
      </c>
      <c r="C22" s="148"/>
      <c r="D22" s="148"/>
      <c r="E22" s="148"/>
      <c r="F22" s="148"/>
      <c r="G22" s="148"/>
      <c r="H22" s="148"/>
      <c r="I22" s="148"/>
    </row>
    <row r="23" spans="1:9" ht="21" customHeight="1">
      <c r="A23" s="30">
        <v>2.4</v>
      </c>
      <c r="B23" s="148" t="s">
        <v>174</v>
      </c>
      <c r="C23" s="148"/>
      <c r="D23" s="148"/>
      <c r="E23" s="148"/>
      <c r="F23" s="148"/>
      <c r="G23" s="148"/>
      <c r="H23" s="148"/>
      <c r="I23" s="148"/>
    </row>
    <row r="24" spans="1:9" ht="21" customHeight="1">
      <c r="A24" s="30">
        <v>2.5</v>
      </c>
      <c r="B24" s="148" t="s">
        <v>504</v>
      </c>
      <c r="C24" s="148"/>
      <c r="D24" s="148"/>
      <c r="E24" s="148"/>
      <c r="F24" s="148"/>
      <c r="G24" s="148"/>
      <c r="H24" s="148"/>
      <c r="I24" s="148"/>
    </row>
    <row r="25" spans="1:9" ht="21" customHeight="1">
      <c r="A25" s="31">
        <v>3</v>
      </c>
      <c r="B25" s="151" t="s">
        <v>133</v>
      </c>
      <c r="C25" s="151"/>
      <c r="D25" s="151"/>
      <c r="E25" s="151"/>
      <c r="F25" s="151"/>
      <c r="G25" s="151"/>
      <c r="H25" s="151"/>
      <c r="I25" s="30"/>
    </row>
    <row r="26" spans="1:9" ht="21" customHeight="1">
      <c r="A26" s="30">
        <v>3.1</v>
      </c>
      <c r="B26" s="148" t="s">
        <v>134</v>
      </c>
      <c r="C26" s="148"/>
      <c r="D26" s="148"/>
      <c r="E26" s="148"/>
      <c r="F26" s="148"/>
      <c r="G26" s="148"/>
      <c r="H26" s="148"/>
      <c r="I26" s="148"/>
    </row>
    <row r="27" spans="1:9" ht="21" customHeight="1">
      <c r="A27" s="31">
        <v>4</v>
      </c>
      <c r="B27" s="151" t="s">
        <v>131</v>
      </c>
      <c r="C27" s="151"/>
      <c r="D27" s="151"/>
      <c r="E27" s="151"/>
      <c r="F27" s="151"/>
      <c r="G27" s="151"/>
      <c r="H27" s="151"/>
      <c r="I27" s="30"/>
    </row>
    <row r="28" spans="1:9" ht="24" customHeight="1">
      <c r="A28" s="30">
        <v>4.1</v>
      </c>
      <c r="B28" s="148" t="s">
        <v>132</v>
      </c>
      <c r="C28" s="148"/>
      <c r="D28" s="148"/>
      <c r="E28" s="148"/>
      <c r="F28" s="148"/>
      <c r="G28" s="148"/>
      <c r="H28" s="148"/>
      <c r="I28" s="148"/>
    </row>
    <row r="29" s="118" customFormat="1" ht="18"/>
    <row r="30" spans="1:16" s="118" customFormat="1" ht="18">
      <c r="A30" s="149" t="s">
        <v>624</v>
      </c>
      <c r="B30" s="150"/>
      <c r="C30" s="150"/>
      <c r="D30" s="150"/>
      <c r="E30" s="150"/>
      <c r="F30" s="150"/>
      <c r="G30" s="119"/>
      <c r="H30" s="127"/>
      <c r="I30" s="120"/>
      <c r="J30" s="121"/>
      <c r="K30" s="121"/>
      <c r="L30" s="122"/>
      <c r="M30" s="122"/>
      <c r="N30" s="123"/>
      <c r="O30" s="123"/>
      <c r="P30" s="123"/>
    </row>
    <row r="31" spans="1:16" s="118" customFormat="1" ht="18">
      <c r="A31" s="150"/>
      <c r="B31" s="150"/>
      <c r="C31" s="150"/>
      <c r="D31" s="150"/>
      <c r="E31" s="150"/>
      <c r="F31" s="150"/>
      <c r="G31" s="119" t="s">
        <v>108</v>
      </c>
      <c r="H31" s="127">
        <v>510</v>
      </c>
      <c r="I31" s="120"/>
      <c r="J31" s="121"/>
      <c r="K31" s="121"/>
      <c r="L31" s="122"/>
      <c r="M31" s="122"/>
      <c r="N31" s="123"/>
      <c r="O31" s="123"/>
      <c r="P31" s="123"/>
    </row>
    <row r="32" spans="1:10" s="118" customFormat="1" ht="36" customHeight="1">
      <c r="A32" s="149" t="s">
        <v>623</v>
      </c>
      <c r="B32" s="150"/>
      <c r="C32" s="150"/>
      <c r="D32" s="150"/>
      <c r="E32" s="150"/>
      <c r="F32" s="150"/>
      <c r="G32" s="124" t="s">
        <v>109</v>
      </c>
      <c r="H32" s="128">
        <v>0</v>
      </c>
      <c r="J32" s="125"/>
    </row>
    <row r="33" spans="1:8" s="118" customFormat="1" ht="18">
      <c r="A33" s="123"/>
      <c r="B33" s="123"/>
      <c r="C33" s="123"/>
      <c r="D33" s="123"/>
      <c r="E33" s="123"/>
      <c r="F33" s="123"/>
      <c r="G33" s="123"/>
      <c r="H33" s="126">
        <f>Оглавление!H31*((100-Оглавление!H32)/100)</f>
        <v>510</v>
      </c>
    </row>
    <row r="34" s="118" customFormat="1" ht="18"/>
  </sheetData>
  <sheetProtection formatCells="0" formatColumns="0" formatRows="0" insertColumns="0" insertRows="0" insertHyperlinks="0" deleteColumns="0" deleteRows="0" sort="0" autoFilter="0" pivotTables="0"/>
  <mergeCells count="24">
    <mergeCell ref="B7:H7"/>
    <mergeCell ref="B11:I11"/>
    <mergeCell ref="B13:I13"/>
    <mergeCell ref="B12:I12"/>
    <mergeCell ref="B8:H8"/>
    <mergeCell ref="B18:I18"/>
    <mergeCell ref="B10:I10"/>
    <mergeCell ref="B9:I9"/>
    <mergeCell ref="A32:F32"/>
    <mergeCell ref="B21:I21"/>
    <mergeCell ref="B27:H27"/>
    <mergeCell ref="A30:F31"/>
    <mergeCell ref="B22:I22"/>
    <mergeCell ref="B16:I16"/>
    <mergeCell ref="B28:I28"/>
    <mergeCell ref="B26:I26"/>
    <mergeCell ref="B19:H19"/>
    <mergeCell ref="B25:H25"/>
    <mergeCell ref="B20:I20"/>
    <mergeCell ref="B23:I23"/>
    <mergeCell ref="B14:I14"/>
    <mergeCell ref="B15:I15"/>
    <mergeCell ref="B17:I17"/>
    <mergeCell ref="B24:I24"/>
  </mergeCells>
  <hyperlinks>
    <hyperlink ref="B11:I11" location="Primacy!R1C1" display="Принтеры Primacy"/>
    <hyperlink ref="B13:I13" location="ZENIUS!R1C1" display="Принтеры Zenius"/>
    <hyperlink ref="B17:I17" location="Edikio!A1" display="EDIKIO (Решения для ценников)"/>
    <hyperlink ref="B20" location="Ленты!R1C1" display="Полноцветные и монохромные ленты"/>
    <hyperlink ref="B21" location="Accessories!R1C1" display="Комплекты для чистки, Печатающие головки"/>
    <hyperlink ref="B22" location="Карты!R1C1" display="Оригинальные карты Evolis"/>
    <hyperlink ref="B28" location="Кодировщики!R1C1" display="Кодировщики"/>
    <hyperlink ref="B26" location="Кодировщики!R1C1" display="Кодировщики"/>
    <hyperlink ref="B26:I26" location="CardPresso!R1C1" display="CardPresso"/>
    <hyperlink ref="B21:I21" location="Чистка!R1C1" display="Комплекты для чистки, Печатающие головки"/>
    <hyperlink ref="B23:I23" location="'БСК Карты'!A1" display="Бесконтактные карты EM-marine, Mifare. HID"/>
    <hyperlink ref="B15:I15" location="AVANSIA!A1" display="Evolis Avansia"/>
    <hyperlink ref="B14:I14" location="Badgy200!R1C1" display="Evolis Badgy200"/>
    <hyperlink ref="B12:I12" location="'Primacy LAM'!A1" display="Evolis Primacy Lamination"/>
    <hyperlink ref="B16:I16" location="'Панель цифровой подписи SIG'!A1" display="Панели цифровой подписи Evolis Sig"/>
    <hyperlink ref="B24:I24" location="'БСК Карты'!A30" display="Силиконовые браслеты Em-marin, Mifare"/>
    <hyperlink ref="B18:I18" location="'Edikio guest'!A1" display="EDIKIO (Решения для ценников)"/>
    <hyperlink ref="B10:I10" location="Primacy2!A1" display="Evolis Primacy 2"/>
    <hyperlink ref="B9:I9" location="'Акционные товары'!A1" display="Акционные товары"/>
  </hyperlinks>
  <printOptions/>
  <pageMargins left="0.7" right="0.7" top="0.75" bottom="0.75" header="0.3" footer="0.3"/>
  <pageSetup horizontalDpi="600" verticalDpi="600" orientation="portrait" paperSize="9" scale="95"/>
  <colBreaks count="1" manualBreakCount="1">
    <brk id="10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9CC00"/>
  </sheetPr>
  <dimension ref="A1:D38"/>
  <sheetViews>
    <sheetView zoomScale="85" zoomScaleNormal="85" zoomScaleSheetLayoutView="100" zoomScalePageLayoutView="0" workbookViewId="0" topLeftCell="A1">
      <selection activeCell="A19" sqref="A19:IV19"/>
    </sheetView>
  </sheetViews>
  <sheetFormatPr defaultColWidth="8.875" defaultRowHeight="12.75"/>
  <cols>
    <col min="1" max="1" width="11.00390625" style="0" customWidth="1"/>
    <col min="2" max="2" width="30.875" style="0" customWidth="1"/>
    <col min="3" max="3" width="86.875" style="0" customWidth="1"/>
    <col min="4" max="4" width="10.875" style="0" customWidth="1"/>
  </cols>
  <sheetData>
    <row r="1" spans="1:4" ht="12.75">
      <c r="A1" s="227"/>
      <c r="B1" s="227"/>
      <c r="C1" s="227"/>
      <c r="D1" s="227"/>
    </row>
    <row r="2" spans="1:4" ht="12.75">
      <c r="A2" s="227"/>
      <c r="B2" s="227"/>
      <c r="C2" s="227"/>
      <c r="D2" s="227"/>
    </row>
    <row r="3" spans="1:4" ht="12.75">
      <c r="A3" s="227"/>
      <c r="B3" s="227"/>
      <c r="C3" s="227"/>
      <c r="D3" s="227"/>
    </row>
    <row r="4" spans="1:4" ht="12.75">
      <c r="A4" s="227"/>
      <c r="B4" s="227"/>
      <c r="C4" s="227"/>
      <c r="D4" s="227"/>
    </row>
    <row r="5" spans="1:4" ht="12.75">
      <c r="A5" s="227"/>
      <c r="B5" s="227"/>
      <c r="C5" s="227"/>
      <c r="D5" s="227"/>
    </row>
    <row r="6" spans="1:4" ht="12.75">
      <c r="A6" s="227"/>
      <c r="B6" s="227"/>
      <c r="C6" s="227"/>
      <c r="D6" s="227"/>
    </row>
    <row r="7" spans="1:4" ht="12.75">
      <c r="A7" s="227"/>
      <c r="B7" s="227"/>
      <c r="C7" s="227"/>
      <c r="D7" s="227"/>
    </row>
    <row r="8" spans="1:4" ht="12.75">
      <c r="A8" s="227"/>
      <c r="B8" s="227"/>
      <c r="C8" s="227"/>
      <c r="D8" s="227"/>
    </row>
    <row r="9" spans="1:4" ht="12.75">
      <c r="A9" s="227"/>
      <c r="B9" s="227"/>
      <c r="C9" s="227"/>
      <c r="D9" s="227"/>
    </row>
    <row r="10" spans="1:4" ht="16.5" thickBot="1">
      <c r="A10" s="155" t="s">
        <v>151</v>
      </c>
      <c r="B10" s="155"/>
      <c r="C10" s="155"/>
      <c r="D10" s="155"/>
    </row>
    <row r="11" spans="1:4" ht="15" thickBot="1">
      <c r="A11" s="7" t="s">
        <v>0</v>
      </c>
      <c r="B11" s="234" t="s">
        <v>1</v>
      </c>
      <c r="C11" s="235"/>
      <c r="D11" s="8" t="s">
        <v>75</v>
      </c>
    </row>
    <row r="12" spans="1:4" ht="16.5" thickBot="1">
      <c r="A12" s="160" t="s">
        <v>152</v>
      </c>
      <c r="B12" s="161"/>
      <c r="C12" s="161"/>
      <c r="D12" s="162"/>
    </row>
    <row r="13" spans="1:4" ht="36">
      <c r="A13" s="4" t="s">
        <v>135</v>
      </c>
      <c r="B13" s="33" t="s">
        <v>138</v>
      </c>
      <c r="C13" s="3" t="s">
        <v>142</v>
      </c>
      <c r="D13" s="34">
        <f>40*k</f>
        <v>20400</v>
      </c>
    </row>
    <row r="14" spans="1:4" ht="36">
      <c r="A14" s="4" t="s">
        <v>136</v>
      </c>
      <c r="B14" s="33" t="s">
        <v>139</v>
      </c>
      <c r="C14" s="3" t="s">
        <v>143</v>
      </c>
      <c r="D14" s="34"/>
    </row>
    <row r="15" spans="1:4" ht="48">
      <c r="A15" s="4" t="s">
        <v>137</v>
      </c>
      <c r="B15" s="33" t="s">
        <v>140</v>
      </c>
      <c r="C15" s="3" t="s">
        <v>144</v>
      </c>
      <c r="D15" s="34"/>
    </row>
    <row r="16" spans="1:4" ht="48">
      <c r="A16" s="4" t="s">
        <v>145</v>
      </c>
      <c r="B16" s="33" t="s">
        <v>146</v>
      </c>
      <c r="C16" s="3" t="s">
        <v>147</v>
      </c>
      <c r="D16" s="34"/>
    </row>
    <row r="17" spans="1:4" ht="36">
      <c r="A17" s="4" t="s">
        <v>148</v>
      </c>
      <c r="B17" s="33" t="s">
        <v>149</v>
      </c>
      <c r="C17" s="3" t="s">
        <v>150</v>
      </c>
      <c r="D17" s="34"/>
    </row>
    <row r="18" spans="1:4" ht="12.75">
      <c r="A18" s="4" t="s">
        <v>335</v>
      </c>
      <c r="B18" s="211" t="s">
        <v>336</v>
      </c>
      <c r="C18" s="212"/>
      <c r="D18" s="24">
        <f>25*k</f>
        <v>12750</v>
      </c>
    </row>
    <row r="19" spans="1:4" ht="12.75">
      <c r="A19" s="4" t="s">
        <v>337</v>
      </c>
      <c r="B19" s="211" t="s">
        <v>338</v>
      </c>
      <c r="C19" s="212"/>
      <c r="D19" s="24">
        <f>205*k</f>
        <v>104550</v>
      </c>
    </row>
    <row r="20" spans="1:4" ht="12.75">
      <c r="A20" s="4" t="s">
        <v>339</v>
      </c>
      <c r="B20" s="211" t="s">
        <v>340</v>
      </c>
      <c r="C20" s="212"/>
      <c r="D20" s="24">
        <f>355*k</f>
        <v>181050</v>
      </c>
    </row>
    <row r="21" spans="1:4" ht="12.75">
      <c r="A21" s="4" t="s">
        <v>341</v>
      </c>
      <c r="B21" s="211" t="s">
        <v>342</v>
      </c>
      <c r="C21" s="212"/>
      <c r="D21" s="24">
        <f>855*k</f>
        <v>436050</v>
      </c>
    </row>
    <row r="22" spans="1:4" ht="12.75">
      <c r="A22" s="2" t="s">
        <v>343</v>
      </c>
      <c r="B22" s="263" t="s">
        <v>344</v>
      </c>
      <c r="C22" s="263"/>
      <c r="D22" s="71">
        <f>1955*k</f>
        <v>997050</v>
      </c>
    </row>
    <row r="23" spans="1:4" ht="12.75">
      <c r="A23" s="67"/>
      <c r="B23" s="69"/>
      <c r="C23" s="69"/>
      <c r="D23" s="70"/>
    </row>
    <row r="24" spans="1:4" ht="12.75">
      <c r="A24" s="2" t="s">
        <v>345</v>
      </c>
      <c r="B24" s="263" t="s">
        <v>355</v>
      </c>
      <c r="C24" s="263"/>
      <c r="D24" s="71">
        <f>180*k</f>
        <v>91800</v>
      </c>
    </row>
    <row r="25" spans="1:4" ht="12.75">
      <c r="A25" s="4" t="s">
        <v>346</v>
      </c>
      <c r="B25" s="211" t="s">
        <v>356</v>
      </c>
      <c r="C25" s="212"/>
      <c r="D25" s="24">
        <f>330*k</f>
        <v>168300</v>
      </c>
    </row>
    <row r="26" spans="1:4" ht="12.75">
      <c r="A26" s="4" t="s">
        <v>347</v>
      </c>
      <c r="B26" s="211" t="s">
        <v>357</v>
      </c>
      <c r="C26" s="212"/>
      <c r="D26" s="24">
        <f>830*k</f>
        <v>423300</v>
      </c>
    </row>
    <row r="27" spans="1:4" ht="12.75">
      <c r="A27" s="9" t="s">
        <v>348</v>
      </c>
      <c r="B27" s="258" t="s">
        <v>358</v>
      </c>
      <c r="C27" s="259"/>
      <c r="D27" s="25">
        <f>1930*k</f>
        <v>984300</v>
      </c>
    </row>
    <row r="28" spans="1:4" s="15" customFormat="1" ht="12.75">
      <c r="A28" s="73"/>
      <c r="B28" s="74"/>
      <c r="C28" s="74"/>
      <c r="D28" s="75"/>
    </row>
    <row r="29" spans="1:4" ht="13.5" thickBot="1">
      <c r="A29" s="72" t="s">
        <v>349</v>
      </c>
      <c r="B29" s="260" t="s">
        <v>359</v>
      </c>
      <c r="C29" s="261"/>
      <c r="D29" s="68">
        <f>150*k</f>
        <v>76500</v>
      </c>
    </row>
    <row r="30" spans="1:4" ht="13.5" thickBot="1">
      <c r="A30" s="6" t="s">
        <v>350</v>
      </c>
      <c r="B30" s="213" t="s">
        <v>360</v>
      </c>
      <c r="C30" s="214"/>
      <c r="D30" s="24">
        <f>650*k</f>
        <v>331500</v>
      </c>
    </row>
    <row r="31" spans="1:4" ht="12.75">
      <c r="A31" s="9" t="s">
        <v>351</v>
      </c>
      <c r="B31" s="258" t="s">
        <v>361</v>
      </c>
      <c r="C31" s="259"/>
      <c r="D31" s="25">
        <f>1750*k</f>
        <v>892500</v>
      </c>
    </row>
    <row r="32" spans="1:4" s="15" customFormat="1" ht="12.75">
      <c r="A32" s="73"/>
      <c r="B32" s="74"/>
      <c r="C32" s="74"/>
      <c r="D32" s="75"/>
    </row>
    <row r="33" spans="1:4" ht="13.5" thickBot="1">
      <c r="A33" s="72" t="s">
        <v>352</v>
      </c>
      <c r="B33" s="260" t="s">
        <v>362</v>
      </c>
      <c r="C33" s="261"/>
      <c r="D33" s="68">
        <f>500*k</f>
        <v>255000</v>
      </c>
    </row>
    <row r="34" spans="1:4" ht="12.75">
      <c r="A34" s="9" t="s">
        <v>353</v>
      </c>
      <c r="B34" s="258" t="s">
        <v>363</v>
      </c>
      <c r="C34" s="259"/>
      <c r="D34" s="25">
        <f>1600*k</f>
        <v>816000</v>
      </c>
    </row>
    <row r="35" spans="1:4" ht="12.75">
      <c r="A35" s="73"/>
      <c r="B35" s="74"/>
      <c r="C35" s="74"/>
      <c r="D35" s="75"/>
    </row>
    <row r="36" spans="1:4" ht="13.5" thickBot="1">
      <c r="A36" s="72" t="s">
        <v>354</v>
      </c>
      <c r="B36" s="260" t="s">
        <v>364</v>
      </c>
      <c r="C36" s="261"/>
      <c r="D36" s="68">
        <f>1100*k</f>
        <v>561000</v>
      </c>
    </row>
    <row r="38" spans="2:3" ht="59.25" customHeight="1">
      <c r="B38" s="262" t="s">
        <v>141</v>
      </c>
      <c r="C38" s="262"/>
    </row>
  </sheetData>
  <sheetProtection/>
  <mergeCells count="20">
    <mergeCell ref="A12:D12"/>
    <mergeCell ref="B11:C11"/>
    <mergeCell ref="A1:D9"/>
    <mergeCell ref="B19:C19"/>
    <mergeCell ref="A10:D10"/>
    <mergeCell ref="B18:C18"/>
    <mergeCell ref="B20:C20"/>
    <mergeCell ref="B21:C21"/>
    <mergeCell ref="B22:C22"/>
    <mergeCell ref="B24:C24"/>
    <mergeCell ref="B25:C25"/>
    <mergeCell ref="B33:C33"/>
    <mergeCell ref="B34:C34"/>
    <mergeCell ref="B36:C36"/>
    <mergeCell ref="B38:C38"/>
    <mergeCell ref="B26:C26"/>
    <mergeCell ref="B27:C27"/>
    <mergeCell ref="B29:C29"/>
    <mergeCell ref="B30:C30"/>
    <mergeCell ref="B31:C31"/>
  </mergeCells>
  <hyperlinks>
    <hyperlink ref="A10:D10" location="Оглавление!R1C1" display="Вернуться в Оглавление"/>
  </hyperlinks>
  <printOptions/>
  <pageMargins left="0.75" right="0.75" top="1" bottom="1" header="0.5" footer="0.5"/>
  <pageSetup horizontalDpi="600" verticalDpi="600" orientation="portrait" paperSize="9" scale="68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00"/>
  </sheetPr>
  <dimension ref="A1:F49"/>
  <sheetViews>
    <sheetView zoomScaleSheetLayoutView="100" zoomScalePageLayoutView="0" workbookViewId="0" topLeftCell="A1">
      <selection activeCell="A4" sqref="A4:D4"/>
    </sheetView>
  </sheetViews>
  <sheetFormatPr defaultColWidth="8.875" defaultRowHeight="12.75"/>
  <cols>
    <col min="1" max="1" width="12.00390625" style="0" customWidth="1"/>
    <col min="2" max="2" width="29.375" style="0" customWidth="1"/>
    <col min="3" max="3" width="73.75390625" style="0" customWidth="1"/>
    <col min="4" max="4" width="10.00390625" style="0" customWidth="1"/>
  </cols>
  <sheetData>
    <row r="1" spans="1:4" ht="16.5" thickBot="1">
      <c r="A1" s="155" t="s">
        <v>151</v>
      </c>
      <c r="B1" s="155"/>
      <c r="C1" s="155"/>
      <c r="D1" s="155"/>
    </row>
    <row r="2" spans="1:6" s="1" customFormat="1" ht="15" thickBot="1">
      <c r="A2" s="7" t="s">
        <v>0</v>
      </c>
      <c r="B2" s="234" t="s">
        <v>1</v>
      </c>
      <c r="C2" s="235"/>
      <c r="D2" s="8" t="s">
        <v>75</v>
      </c>
      <c r="E2"/>
      <c r="F2"/>
    </row>
    <row r="3" spans="1:4" ht="16.5" thickBot="1">
      <c r="A3" s="160" t="s">
        <v>398</v>
      </c>
      <c r="B3" s="161"/>
      <c r="C3" s="161"/>
      <c r="D3" s="162"/>
    </row>
    <row r="4" spans="1:4" ht="12.75">
      <c r="A4" s="14" t="s">
        <v>105</v>
      </c>
      <c r="B4" s="105" t="s">
        <v>77</v>
      </c>
      <c r="C4" s="106" t="s">
        <v>368</v>
      </c>
      <c r="D4" s="51">
        <f>87*k</f>
        <v>44370</v>
      </c>
    </row>
    <row r="5" spans="1:4" ht="12.75">
      <c r="A5" s="57" t="s">
        <v>106</v>
      </c>
      <c r="B5" s="44" t="s">
        <v>77</v>
      </c>
      <c r="C5" s="44" t="s">
        <v>369</v>
      </c>
      <c r="D5" s="53">
        <f>66*k</f>
        <v>33660</v>
      </c>
    </row>
    <row r="6" spans="1:4" ht="14.25" customHeight="1" thickBot="1">
      <c r="A6" s="12" t="s">
        <v>7</v>
      </c>
      <c r="B6" s="55" t="s">
        <v>78</v>
      </c>
      <c r="C6" s="33" t="s">
        <v>370</v>
      </c>
      <c r="D6" s="51">
        <f>74*k</f>
        <v>37740</v>
      </c>
    </row>
    <row r="7" spans="1:4" ht="16.5" thickBot="1">
      <c r="A7" s="160" t="s">
        <v>125</v>
      </c>
      <c r="B7" s="223"/>
      <c r="C7" s="223"/>
      <c r="D7" s="224"/>
    </row>
    <row r="8" spans="1:5" s="46" customFormat="1" ht="12.75">
      <c r="A8" s="57" t="s">
        <v>19</v>
      </c>
      <c r="B8" s="225" t="s">
        <v>366</v>
      </c>
      <c r="C8" s="226"/>
      <c r="D8" s="51">
        <f>72*k</f>
        <v>36720</v>
      </c>
      <c r="E8" s="58"/>
    </row>
    <row r="9" spans="1:4" ht="12.75" customHeight="1">
      <c r="A9" s="5" t="s">
        <v>175</v>
      </c>
      <c r="B9" s="199" t="s">
        <v>367</v>
      </c>
      <c r="C9" s="200"/>
      <c r="D9" s="51">
        <f>25*k</f>
        <v>12750</v>
      </c>
    </row>
    <row r="10" spans="1:4" ht="12.75">
      <c r="A10" s="4" t="s">
        <v>9</v>
      </c>
      <c r="B10" s="199" t="s">
        <v>372</v>
      </c>
      <c r="C10" s="200"/>
      <c r="D10" s="51">
        <f>35*k</f>
        <v>17850</v>
      </c>
    </row>
    <row r="11" spans="1:4" ht="12.75">
      <c r="A11" s="4" t="s">
        <v>10</v>
      </c>
      <c r="B11" s="199" t="s">
        <v>373</v>
      </c>
      <c r="C11" s="200"/>
      <c r="D11" s="51">
        <f>35*k</f>
        <v>17850</v>
      </c>
    </row>
    <row r="12" spans="1:4" ht="12.75">
      <c r="A12" s="4" t="s">
        <v>11</v>
      </c>
      <c r="B12" s="199" t="s">
        <v>374</v>
      </c>
      <c r="C12" s="200"/>
      <c r="D12" s="51">
        <f>35*k</f>
        <v>17850</v>
      </c>
    </row>
    <row r="13" spans="1:4" ht="12.75">
      <c r="A13" s="4" t="s">
        <v>12</v>
      </c>
      <c r="B13" s="199" t="s">
        <v>375</v>
      </c>
      <c r="C13" s="200"/>
      <c r="D13" s="51">
        <f>33*k</f>
        <v>16830</v>
      </c>
    </row>
    <row r="14" spans="1:4" ht="12.75">
      <c r="A14" s="4" t="s">
        <v>13</v>
      </c>
      <c r="B14" s="199" t="s">
        <v>376</v>
      </c>
      <c r="C14" s="200"/>
      <c r="D14" s="51">
        <f>70*k</f>
        <v>35700</v>
      </c>
    </row>
    <row r="15" spans="1:4" ht="12.75">
      <c r="A15" s="4" t="s">
        <v>14</v>
      </c>
      <c r="B15" s="199" t="s">
        <v>377</v>
      </c>
      <c r="C15" s="200"/>
      <c r="D15" s="51">
        <f>70*k</f>
        <v>35700</v>
      </c>
    </row>
    <row r="16" spans="1:4" ht="12.75">
      <c r="A16" s="4" t="s">
        <v>15</v>
      </c>
      <c r="B16" s="199" t="s">
        <v>378</v>
      </c>
      <c r="C16" s="200"/>
      <c r="D16" s="51">
        <f>50*k</f>
        <v>25500</v>
      </c>
    </row>
    <row r="17" spans="1:4" ht="24.75" customHeight="1">
      <c r="A17" s="102" t="s">
        <v>16</v>
      </c>
      <c r="B17" s="199" t="s">
        <v>394</v>
      </c>
      <c r="C17" s="200"/>
      <c r="D17" s="51">
        <f>20*k</f>
        <v>10200</v>
      </c>
    </row>
    <row r="18" spans="1:4" ht="12.75">
      <c r="A18" s="4" t="s">
        <v>17</v>
      </c>
      <c r="B18" s="199" t="s">
        <v>380</v>
      </c>
      <c r="C18" s="200"/>
      <c r="D18" s="51">
        <f>43*k</f>
        <v>21930</v>
      </c>
    </row>
    <row r="19" spans="1:4" ht="13.5" thickBot="1">
      <c r="A19" s="6" t="s">
        <v>18</v>
      </c>
      <c r="B19" s="219" t="s">
        <v>381</v>
      </c>
      <c r="C19" s="220"/>
      <c r="D19" s="51">
        <f>75*k</f>
        <v>38250</v>
      </c>
    </row>
    <row r="20" spans="1:4" ht="16.5" thickBot="1">
      <c r="A20" s="160" t="s">
        <v>399</v>
      </c>
      <c r="B20" s="223"/>
      <c r="C20" s="223"/>
      <c r="D20" s="224"/>
    </row>
    <row r="21" spans="1:4" ht="24.75" customHeight="1">
      <c r="A21" s="102" t="s">
        <v>277</v>
      </c>
      <c r="B21" s="103" t="s">
        <v>278</v>
      </c>
      <c r="C21" s="3" t="s">
        <v>395</v>
      </c>
      <c r="D21" s="51">
        <f>64*k</f>
        <v>32640</v>
      </c>
    </row>
    <row r="22" spans="1:4" ht="24">
      <c r="A22" s="48" t="s">
        <v>76</v>
      </c>
      <c r="B22" s="104" t="s">
        <v>80</v>
      </c>
      <c r="C22" s="11" t="s">
        <v>396</v>
      </c>
      <c r="D22" s="51">
        <f>75*k</f>
        <v>38250</v>
      </c>
    </row>
    <row r="23" spans="1:4" ht="30.75" customHeight="1" thickBot="1">
      <c r="A23" s="12" t="s">
        <v>280</v>
      </c>
      <c r="B23" s="55" t="s">
        <v>281</v>
      </c>
      <c r="C23" s="33" t="s">
        <v>397</v>
      </c>
      <c r="D23" s="49">
        <f>105*k</f>
        <v>53550</v>
      </c>
    </row>
    <row r="24" spans="1:4" ht="16.5" thickBot="1">
      <c r="A24" s="160" t="s">
        <v>400</v>
      </c>
      <c r="B24" s="161"/>
      <c r="C24" s="161"/>
      <c r="D24" s="162"/>
    </row>
    <row r="25" spans="1:4" ht="12.75">
      <c r="A25" s="26" t="s">
        <v>36</v>
      </c>
      <c r="B25" s="27" t="s">
        <v>77</v>
      </c>
      <c r="C25" s="27" t="s">
        <v>369</v>
      </c>
      <c r="D25" s="20">
        <f>68*k</f>
        <v>34680</v>
      </c>
    </row>
    <row r="26" spans="1:4" ht="12.75">
      <c r="A26" s="4" t="s">
        <v>37</v>
      </c>
      <c r="B26" s="2" t="s">
        <v>79</v>
      </c>
      <c r="C26" s="2" t="s">
        <v>382</v>
      </c>
      <c r="D26" s="16">
        <f>64*k</f>
        <v>32640</v>
      </c>
    </row>
    <row r="27" spans="1:4" ht="12.75">
      <c r="A27" s="4" t="s">
        <v>38</v>
      </c>
      <c r="B27" s="2" t="s">
        <v>78</v>
      </c>
      <c r="C27" s="2" t="s">
        <v>370</v>
      </c>
      <c r="D27" s="16">
        <f>81*k</f>
        <v>41310</v>
      </c>
    </row>
    <row r="28" spans="1:4" ht="13.5" thickBot="1">
      <c r="A28" s="4" t="s">
        <v>39</v>
      </c>
      <c r="B28" s="2"/>
      <c r="C28" s="2" t="s">
        <v>383</v>
      </c>
      <c r="D28" s="16">
        <f>65*k</f>
        <v>33150</v>
      </c>
    </row>
    <row r="29" spans="1:4" ht="16.5" thickBot="1">
      <c r="A29" s="160" t="s">
        <v>401</v>
      </c>
      <c r="B29" s="161"/>
      <c r="C29" s="161"/>
      <c r="D29" s="162"/>
    </row>
    <row r="30" spans="1:4" ht="12.75">
      <c r="A30" s="4" t="s">
        <v>26</v>
      </c>
      <c r="B30" s="211" t="s">
        <v>384</v>
      </c>
      <c r="C30" s="212"/>
      <c r="D30" s="16">
        <f>17*k</f>
        <v>8670</v>
      </c>
    </row>
    <row r="31" spans="1:4" ht="12.75">
      <c r="A31" s="4" t="s">
        <v>27</v>
      </c>
      <c r="B31" s="211" t="s">
        <v>372</v>
      </c>
      <c r="C31" s="212"/>
      <c r="D31" s="16">
        <f>38*k</f>
        <v>19380</v>
      </c>
    </row>
    <row r="32" spans="1:4" ht="13.5" customHeight="1">
      <c r="A32" s="4" t="s">
        <v>28</v>
      </c>
      <c r="B32" s="211" t="s">
        <v>373</v>
      </c>
      <c r="C32" s="212"/>
      <c r="D32" s="16">
        <f>38*k</f>
        <v>19380</v>
      </c>
    </row>
    <row r="33" spans="1:4" ht="12.75">
      <c r="A33" s="4" t="s">
        <v>29</v>
      </c>
      <c r="B33" s="211" t="s">
        <v>374</v>
      </c>
      <c r="C33" s="212"/>
      <c r="D33" s="16">
        <f>38*k</f>
        <v>19380</v>
      </c>
    </row>
    <row r="34" spans="1:4" ht="12.75">
      <c r="A34" s="4" t="s">
        <v>30</v>
      </c>
      <c r="B34" s="211" t="s">
        <v>375</v>
      </c>
      <c r="C34" s="212"/>
      <c r="D34" s="16">
        <f>38*k</f>
        <v>19380</v>
      </c>
    </row>
    <row r="35" spans="1:4" ht="12.75">
      <c r="A35" s="4" t="s">
        <v>31</v>
      </c>
      <c r="B35" s="211" t="s">
        <v>376</v>
      </c>
      <c r="C35" s="212"/>
      <c r="D35" s="16">
        <f>84*k</f>
        <v>42840</v>
      </c>
    </row>
    <row r="36" spans="1:4" ht="12.75">
      <c r="A36" s="4" t="s">
        <v>32</v>
      </c>
      <c r="B36" s="211" t="s">
        <v>377</v>
      </c>
      <c r="C36" s="212"/>
      <c r="D36" s="16">
        <f>84*k</f>
        <v>42840</v>
      </c>
    </row>
    <row r="37" spans="1:4" ht="12.75">
      <c r="A37" s="4" t="s">
        <v>33</v>
      </c>
      <c r="B37" s="211" t="s">
        <v>378</v>
      </c>
      <c r="C37" s="212"/>
      <c r="D37" s="16">
        <f>55*k</f>
        <v>28050</v>
      </c>
    </row>
    <row r="38" spans="1:4" ht="12.75">
      <c r="A38" s="4" t="s">
        <v>34</v>
      </c>
      <c r="B38" s="211" t="s">
        <v>379</v>
      </c>
      <c r="C38" s="212"/>
      <c r="D38" s="16">
        <f>22*k</f>
        <v>11220</v>
      </c>
    </row>
    <row r="39" spans="1:4" ht="13.5" thickBot="1">
      <c r="A39" s="4" t="s">
        <v>35</v>
      </c>
      <c r="B39" s="211" t="s">
        <v>385</v>
      </c>
      <c r="C39" s="212"/>
      <c r="D39" s="16">
        <f>45*k</f>
        <v>22950</v>
      </c>
    </row>
    <row r="40" spans="1:4" ht="16.5" thickBot="1">
      <c r="A40" s="160" t="s">
        <v>40</v>
      </c>
      <c r="B40" s="161"/>
      <c r="C40" s="161"/>
      <c r="D40" s="162"/>
    </row>
    <row r="41" spans="1:4" ht="12.75">
      <c r="A41" s="4" t="s">
        <v>41</v>
      </c>
      <c r="B41" s="211" t="s">
        <v>371</v>
      </c>
      <c r="C41" s="212"/>
      <c r="D41" s="16">
        <f>47*k</f>
        <v>23970</v>
      </c>
    </row>
    <row r="42" spans="1:4" ht="12.75">
      <c r="A42" s="4" t="s">
        <v>42</v>
      </c>
      <c r="B42" s="211" t="s">
        <v>386</v>
      </c>
      <c r="C42" s="212"/>
      <c r="D42" s="16">
        <f>17*k</f>
        <v>8670</v>
      </c>
    </row>
    <row r="43" spans="1:4" ht="12.75">
      <c r="A43" s="4" t="s">
        <v>43</v>
      </c>
      <c r="B43" s="211" t="s">
        <v>387</v>
      </c>
      <c r="C43" s="212"/>
      <c r="D43" s="16">
        <f>34*k</f>
        <v>17340</v>
      </c>
    </row>
    <row r="44" spans="1:4" s="40" customFormat="1" ht="12.75">
      <c r="A44" s="38" t="s">
        <v>44</v>
      </c>
      <c r="B44" s="264" t="s">
        <v>388</v>
      </c>
      <c r="C44" s="265"/>
      <c r="D44" s="39"/>
    </row>
    <row r="45" spans="1:4" s="40" customFormat="1" ht="12.75">
      <c r="A45" s="38" t="s">
        <v>45</v>
      </c>
      <c r="B45" s="264" t="s">
        <v>389</v>
      </c>
      <c r="C45" s="265"/>
      <c r="D45" s="39"/>
    </row>
    <row r="46" spans="1:4" ht="12.75">
      <c r="A46" s="4" t="s">
        <v>46</v>
      </c>
      <c r="B46" s="211" t="s">
        <v>390</v>
      </c>
      <c r="C46" s="212"/>
      <c r="D46" s="16">
        <f>34*k</f>
        <v>17340</v>
      </c>
    </row>
    <row r="47" spans="1:4" s="40" customFormat="1" ht="12.75">
      <c r="A47" s="38" t="s">
        <v>47</v>
      </c>
      <c r="B47" s="264" t="s">
        <v>391</v>
      </c>
      <c r="C47" s="265"/>
      <c r="D47" s="39"/>
    </row>
    <row r="48" spans="1:4" ht="12.75">
      <c r="A48" s="4" t="s">
        <v>48</v>
      </c>
      <c r="B48" s="211" t="s">
        <v>392</v>
      </c>
      <c r="C48" s="212"/>
      <c r="D48" s="16">
        <f>56*k</f>
        <v>28560</v>
      </c>
    </row>
    <row r="49" spans="1:4" ht="13.5" thickBot="1">
      <c r="A49" s="6" t="s">
        <v>49</v>
      </c>
      <c r="B49" s="213" t="s">
        <v>393</v>
      </c>
      <c r="C49" s="214"/>
      <c r="D49" s="16">
        <f>22*k</f>
        <v>11220</v>
      </c>
    </row>
  </sheetData>
  <sheetProtection/>
  <mergeCells count="39">
    <mergeCell ref="B49:C49"/>
    <mergeCell ref="A40:D40"/>
    <mergeCell ref="B30:C30"/>
    <mergeCell ref="B31:C31"/>
    <mergeCell ref="B32:C32"/>
    <mergeCell ref="B48:C48"/>
    <mergeCell ref="B39:C39"/>
    <mergeCell ref="B41:C41"/>
    <mergeCell ref="B47:C47"/>
    <mergeCell ref="B34:C34"/>
    <mergeCell ref="B11:C11"/>
    <mergeCell ref="B15:C15"/>
    <mergeCell ref="B10:C10"/>
    <mergeCell ref="B2:C2"/>
    <mergeCell ref="B46:C46"/>
    <mergeCell ref="B45:C45"/>
    <mergeCell ref="B43:C43"/>
    <mergeCell ref="B36:C36"/>
    <mergeCell ref="B44:C44"/>
    <mergeCell ref="B42:C42"/>
    <mergeCell ref="A3:D3"/>
    <mergeCell ref="B8:C8"/>
    <mergeCell ref="B18:C18"/>
    <mergeCell ref="B17:C17"/>
    <mergeCell ref="B9:C9"/>
    <mergeCell ref="A1:D1"/>
    <mergeCell ref="B13:C13"/>
    <mergeCell ref="B16:C16"/>
    <mergeCell ref="A7:D7"/>
    <mergeCell ref="B12:C12"/>
    <mergeCell ref="A29:D29"/>
    <mergeCell ref="B37:C37"/>
    <mergeCell ref="B33:C33"/>
    <mergeCell ref="B14:C14"/>
    <mergeCell ref="A20:D20"/>
    <mergeCell ref="B38:C38"/>
    <mergeCell ref="B35:C35"/>
    <mergeCell ref="A24:D24"/>
    <mergeCell ref="B19:C19"/>
  </mergeCells>
  <hyperlinks>
    <hyperlink ref="A1:D1" location="Оглавление!R1C1" display="Вернуться в Оглавление"/>
  </hyperlink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/>
  <headerFooter alignWithMargins="0">
    <oddFooter>&amp;R&amp;"Arial Cyr,полужирный"&amp;12&amp;A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CC66"/>
  </sheetPr>
  <dimension ref="A1:F29"/>
  <sheetViews>
    <sheetView zoomScale="125" zoomScaleNormal="125" zoomScaleSheetLayoutView="100" zoomScalePageLayoutView="0" workbookViewId="0" topLeftCell="A10">
      <selection activeCell="B19" sqref="B19:C19"/>
    </sheetView>
  </sheetViews>
  <sheetFormatPr defaultColWidth="8.875" defaultRowHeight="12.75"/>
  <cols>
    <col min="1" max="1" width="16.75390625" style="0" customWidth="1"/>
    <col min="2" max="2" width="36.25390625" style="0" customWidth="1"/>
    <col min="3" max="3" width="54.75390625" style="0" customWidth="1"/>
    <col min="4" max="4" width="11.125" style="0" customWidth="1"/>
  </cols>
  <sheetData>
    <row r="1" spans="1:4" ht="16.5" thickBot="1">
      <c r="A1" s="155" t="s">
        <v>151</v>
      </c>
      <c r="B1" s="155"/>
      <c r="C1" s="155"/>
      <c r="D1" s="155"/>
    </row>
    <row r="2" spans="1:6" s="1" customFormat="1" ht="15" thickBot="1">
      <c r="A2" s="7" t="s">
        <v>0</v>
      </c>
      <c r="B2" s="234" t="s">
        <v>1</v>
      </c>
      <c r="C2" s="235"/>
      <c r="D2" s="8" t="s">
        <v>75</v>
      </c>
      <c r="E2"/>
      <c r="F2"/>
    </row>
    <row r="3" spans="1:4" ht="16.5" thickBot="1">
      <c r="A3" s="160" t="s">
        <v>50</v>
      </c>
      <c r="B3" s="161"/>
      <c r="C3" s="161"/>
      <c r="D3" s="162"/>
    </row>
    <row r="4" spans="1:4" ht="12.75">
      <c r="A4" s="4" t="s">
        <v>51</v>
      </c>
      <c r="B4" s="211" t="s">
        <v>236</v>
      </c>
      <c r="C4" s="212"/>
      <c r="D4" s="24">
        <f>_xlfn.FLOOR.PRECISE(36*k,100)</f>
        <v>18300</v>
      </c>
    </row>
    <row r="5" spans="1:4" ht="12.75">
      <c r="A5" s="4" t="s">
        <v>52</v>
      </c>
      <c r="B5" s="211" t="s">
        <v>633</v>
      </c>
      <c r="C5" s="212"/>
      <c r="D5" s="24">
        <f>44*k</f>
        <v>22440</v>
      </c>
    </row>
    <row r="6" spans="1:4" ht="12.75">
      <c r="A6" s="4" t="s">
        <v>99</v>
      </c>
      <c r="B6" s="199" t="s">
        <v>102</v>
      </c>
      <c r="C6" s="212"/>
      <c r="D6" s="24">
        <f>96*k</f>
        <v>48960</v>
      </c>
    </row>
    <row r="7" spans="1:4" ht="13.5" customHeight="1">
      <c r="A7" s="4" t="s">
        <v>100</v>
      </c>
      <c r="B7" s="211" t="s">
        <v>103</v>
      </c>
      <c r="C7" s="212"/>
      <c r="D7" s="24">
        <f>43*k</f>
        <v>21930</v>
      </c>
    </row>
    <row r="8" spans="1:4" ht="13.5" thickBot="1">
      <c r="A8" s="4" t="s">
        <v>101</v>
      </c>
      <c r="B8" s="199" t="s">
        <v>104</v>
      </c>
      <c r="C8" s="212"/>
      <c r="D8" s="24">
        <f>13*k</f>
        <v>6630</v>
      </c>
    </row>
    <row r="9" spans="1:4" ht="16.5" thickBot="1">
      <c r="A9" s="160" t="s">
        <v>233</v>
      </c>
      <c r="B9" s="161"/>
      <c r="C9" s="161"/>
      <c r="D9" s="162"/>
    </row>
    <row r="10" spans="1:4" ht="12.75">
      <c r="A10" s="12" t="s">
        <v>192</v>
      </c>
      <c r="B10" s="242" t="s">
        <v>507</v>
      </c>
      <c r="C10" s="243"/>
      <c r="D10" s="34">
        <f>40*k</f>
        <v>20400</v>
      </c>
    </row>
    <row r="11" spans="1:4" ht="12.75" customHeight="1">
      <c r="A11" s="12" t="s">
        <v>296</v>
      </c>
      <c r="B11" s="65" t="s">
        <v>505</v>
      </c>
      <c r="C11" s="66"/>
      <c r="D11" s="34">
        <f>6*k</f>
        <v>3060</v>
      </c>
    </row>
    <row r="12" spans="1:4" ht="12.75">
      <c r="A12" s="12" t="s">
        <v>59</v>
      </c>
      <c r="B12" s="65" t="s">
        <v>235</v>
      </c>
      <c r="C12" s="66"/>
      <c r="D12" s="34">
        <f>35*k</f>
        <v>17850</v>
      </c>
    </row>
    <row r="13" spans="1:4" ht="24.75" customHeight="1" thickBot="1">
      <c r="A13" s="12" t="s">
        <v>60</v>
      </c>
      <c r="B13" s="199" t="s">
        <v>234</v>
      </c>
      <c r="C13" s="200"/>
      <c r="D13" s="34">
        <f>10*k</f>
        <v>5100</v>
      </c>
    </row>
    <row r="14" spans="1:4" ht="16.5" thickBot="1">
      <c r="A14" s="160" t="s">
        <v>247</v>
      </c>
      <c r="B14" s="161"/>
      <c r="C14" s="161"/>
      <c r="D14" s="162"/>
    </row>
    <row r="15" spans="1:4" ht="13.5" customHeight="1">
      <c r="A15" s="4" t="s">
        <v>100</v>
      </c>
      <c r="B15" s="211" t="s">
        <v>103</v>
      </c>
      <c r="C15" s="212"/>
      <c r="D15" s="24">
        <f>43*k</f>
        <v>21930</v>
      </c>
    </row>
    <row r="16" spans="1:4" ht="12.75">
      <c r="A16" s="4" t="s">
        <v>101</v>
      </c>
      <c r="B16" s="199" t="s">
        <v>104</v>
      </c>
      <c r="C16" s="212"/>
      <c r="D16" s="24">
        <f>13*k</f>
        <v>6630</v>
      </c>
    </row>
    <row r="17" spans="1:4" ht="29.25" customHeight="1" thickBot="1">
      <c r="A17" s="4" t="s">
        <v>259</v>
      </c>
      <c r="B17" s="199" t="s">
        <v>260</v>
      </c>
      <c r="C17" s="212"/>
      <c r="D17" s="24">
        <f>12*k</f>
        <v>6120</v>
      </c>
    </row>
    <row r="18" spans="1:4" ht="16.5" thickBot="1">
      <c r="A18" s="160" t="s">
        <v>54</v>
      </c>
      <c r="B18" s="161"/>
      <c r="C18" s="161"/>
      <c r="D18" s="162"/>
    </row>
    <row r="19" spans="1:4" ht="12.75">
      <c r="A19" s="12" t="s">
        <v>55</v>
      </c>
      <c r="B19" s="211" t="s">
        <v>56</v>
      </c>
      <c r="C19" s="212"/>
      <c r="D19" s="34">
        <f>21*k</f>
        <v>10710</v>
      </c>
    </row>
    <row r="20" spans="1:4" ht="12.75">
      <c r="A20" s="12" t="s">
        <v>57</v>
      </c>
      <c r="B20" s="211" t="s">
        <v>58</v>
      </c>
      <c r="C20" s="212"/>
      <c r="D20" s="34">
        <f>46*k</f>
        <v>23460</v>
      </c>
    </row>
    <row r="21" spans="1:4" ht="12.75">
      <c r="A21" s="12" t="s">
        <v>59</v>
      </c>
      <c r="B21" s="211" t="s">
        <v>235</v>
      </c>
      <c r="C21" s="212"/>
      <c r="D21" s="34">
        <f>35*k</f>
        <v>17850</v>
      </c>
    </row>
    <row r="22" spans="1:4" ht="25.5" customHeight="1">
      <c r="A22" s="12" t="s">
        <v>60</v>
      </c>
      <c r="B22" s="199" t="s">
        <v>234</v>
      </c>
      <c r="C22" s="200"/>
      <c r="D22" s="34">
        <f>10*k</f>
        <v>5100</v>
      </c>
    </row>
    <row r="23" spans="1:4" ht="13.5" thickBot="1">
      <c r="A23" s="12" t="s">
        <v>97</v>
      </c>
      <c r="B23" s="199" t="s">
        <v>508</v>
      </c>
      <c r="C23" s="212"/>
      <c r="D23" s="34">
        <f>24*k</f>
        <v>12240</v>
      </c>
    </row>
    <row r="24" spans="1:4" ht="16.5" thickBot="1">
      <c r="A24" s="160" t="s">
        <v>61</v>
      </c>
      <c r="B24" s="161"/>
      <c r="C24" s="161"/>
      <c r="D24" s="162"/>
    </row>
    <row r="25" spans="1:4" ht="12.75">
      <c r="A25" s="4" t="s">
        <v>62</v>
      </c>
      <c r="B25" s="211" t="s">
        <v>63</v>
      </c>
      <c r="C25" s="212"/>
      <c r="D25" s="13"/>
    </row>
    <row r="26" spans="1:4" ht="12.75">
      <c r="A26" s="4" t="s">
        <v>64</v>
      </c>
      <c r="B26" s="211" t="s">
        <v>65</v>
      </c>
      <c r="C26" s="212"/>
      <c r="D26" s="13"/>
    </row>
    <row r="27" spans="1:4" ht="12.75">
      <c r="A27" s="4" t="s">
        <v>66</v>
      </c>
      <c r="B27" s="211" t="s">
        <v>67</v>
      </c>
      <c r="C27" s="212"/>
      <c r="D27" s="13"/>
    </row>
    <row r="28" spans="1:4" ht="12.75">
      <c r="A28" s="4" t="s">
        <v>68</v>
      </c>
      <c r="B28" s="211" t="s">
        <v>69</v>
      </c>
      <c r="C28" s="212"/>
      <c r="D28" s="13"/>
    </row>
    <row r="29" spans="1:4" ht="13.5" thickBot="1">
      <c r="A29" s="6" t="s">
        <v>70</v>
      </c>
      <c r="B29" s="213" t="s">
        <v>71</v>
      </c>
      <c r="C29" s="214"/>
      <c r="D29" s="13"/>
    </row>
  </sheetData>
  <sheetProtection/>
  <mergeCells count="27">
    <mergeCell ref="B16:C16"/>
    <mergeCell ref="A9:D9"/>
    <mergeCell ref="B15:C15"/>
    <mergeCell ref="B17:C17"/>
    <mergeCell ref="B13:C13"/>
    <mergeCell ref="A14:D14"/>
    <mergeCell ref="B10:C10"/>
    <mergeCell ref="B26:C26"/>
    <mergeCell ref="A1:D1"/>
    <mergeCell ref="B6:C6"/>
    <mergeCell ref="B7:C7"/>
    <mergeCell ref="B8:C8"/>
    <mergeCell ref="B2:C2"/>
    <mergeCell ref="A3:D3"/>
    <mergeCell ref="B5:C5"/>
    <mergeCell ref="B4:C4"/>
    <mergeCell ref="A18:D18"/>
    <mergeCell ref="A24:D24"/>
    <mergeCell ref="B29:C29"/>
    <mergeCell ref="B19:C19"/>
    <mergeCell ref="B20:C20"/>
    <mergeCell ref="B21:C21"/>
    <mergeCell ref="B22:C22"/>
    <mergeCell ref="B27:C27"/>
    <mergeCell ref="B23:C23"/>
    <mergeCell ref="B28:C28"/>
    <mergeCell ref="B25:C25"/>
  </mergeCells>
  <hyperlinks>
    <hyperlink ref="A1:D1" location="Оглавление!R1C1" display="Вернуться в Оглавление"/>
  </hyperlink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/>
  <headerFooter alignWithMargins="0">
    <oddFooter>&amp;R&amp;"Arial Cyr,полужирный"&amp;12&amp;A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8080"/>
  </sheetPr>
  <dimension ref="A1:E17"/>
  <sheetViews>
    <sheetView zoomScale="150" zoomScaleNormal="150" zoomScaleSheetLayoutView="100" zoomScalePageLayoutView="0" workbookViewId="0" topLeftCell="A1">
      <selection activeCell="B23" sqref="B23"/>
    </sheetView>
  </sheetViews>
  <sheetFormatPr defaultColWidth="8.875" defaultRowHeight="12.75"/>
  <cols>
    <col min="1" max="1" width="16.00390625" style="0" customWidth="1"/>
    <col min="2" max="2" width="38.75390625" style="0" customWidth="1"/>
    <col min="3" max="3" width="54.375" style="0" customWidth="1"/>
    <col min="4" max="4" width="9.875" style="0" bestFit="1" customWidth="1"/>
  </cols>
  <sheetData>
    <row r="1" spans="1:4" ht="16.5" thickBot="1">
      <c r="A1" s="155" t="s">
        <v>151</v>
      </c>
      <c r="B1" s="155"/>
      <c r="C1" s="155"/>
      <c r="D1" s="155"/>
    </row>
    <row r="2" spans="1:4" ht="15" customHeight="1" thickBot="1">
      <c r="A2" s="7" t="s">
        <v>0</v>
      </c>
      <c r="B2" s="234" t="s">
        <v>1</v>
      </c>
      <c r="C2" s="235"/>
      <c r="D2" s="8" t="s">
        <v>75</v>
      </c>
    </row>
    <row r="3" spans="1:4" ht="15.75">
      <c r="A3" s="266" t="s">
        <v>96</v>
      </c>
      <c r="B3" s="267"/>
      <c r="C3" s="267"/>
      <c r="D3" s="268"/>
    </row>
    <row r="4" spans="1:5" ht="12.75">
      <c r="A4" s="27" t="s">
        <v>81</v>
      </c>
      <c r="B4" s="269" t="s">
        <v>95</v>
      </c>
      <c r="C4" s="269"/>
      <c r="D4" s="111">
        <f>68*k</f>
        <v>34680</v>
      </c>
      <c r="E4">
        <f>D4/500</f>
        <v>69.36</v>
      </c>
    </row>
    <row r="5" spans="1:5" ht="12.75">
      <c r="A5" s="27" t="s">
        <v>107</v>
      </c>
      <c r="B5" s="269" t="s">
        <v>154</v>
      </c>
      <c r="C5" s="269"/>
      <c r="D5" s="111">
        <f>90*k</f>
        <v>45900</v>
      </c>
      <c r="E5">
        <f>D5/500</f>
        <v>91.8</v>
      </c>
    </row>
    <row r="6" spans="1:5" ht="12.75">
      <c r="A6" s="27" t="s">
        <v>73</v>
      </c>
      <c r="B6" s="269" t="s">
        <v>93</v>
      </c>
      <c r="C6" s="269"/>
      <c r="D6" s="111">
        <f>120*k</f>
        <v>61200</v>
      </c>
      <c r="E6">
        <f>D6/500</f>
        <v>122.4</v>
      </c>
    </row>
    <row r="7" spans="1:5" s="46" customFormat="1" ht="12.75">
      <c r="A7" s="44" t="s">
        <v>82</v>
      </c>
      <c r="B7" s="270" t="s">
        <v>92</v>
      </c>
      <c r="C7" s="270"/>
      <c r="D7" s="112">
        <f>105*k</f>
        <v>53550</v>
      </c>
      <c r="E7">
        <f>D7/500</f>
        <v>107.1</v>
      </c>
    </row>
    <row r="8" spans="1:5" s="46" customFormat="1" ht="12.75">
      <c r="A8" s="44" t="s">
        <v>72</v>
      </c>
      <c r="B8" s="270" t="s">
        <v>94</v>
      </c>
      <c r="C8" s="270"/>
      <c r="D8" s="112">
        <f>62*k</f>
        <v>31620</v>
      </c>
      <c r="E8">
        <f>D8/500</f>
        <v>63.24</v>
      </c>
    </row>
    <row r="9" spans="1:4" ht="12.75">
      <c r="A9" s="2" t="s">
        <v>83</v>
      </c>
      <c r="B9" s="263" t="s">
        <v>153</v>
      </c>
      <c r="C9" s="263"/>
      <c r="D9" s="71">
        <f>445*k</f>
        <v>226950</v>
      </c>
    </row>
    <row r="10" spans="1:4" ht="12.75">
      <c r="A10" s="2" t="s">
        <v>84</v>
      </c>
      <c r="B10" s="263" t="s">
        <v>91</v>
      </c>
      <c r="C10" s="263"/>
      <c r="D10" s="71">
        <f>31.01*k</f>
        <v>15815.1</v>
      </c>
    </row>
    <row r="11" spans="1:4" ht="12.75">
      <c r="A11" s="2" t="s">
        <v>85</v>
      </c>
      <c r="B11" s="263" t="s">
        <v>90</v>
      </c>
      <c r="C11" s="263"/>
      <c r="D11" s="71">
        <f>20.67*k</f>
        <v>10541.7</v>
      </c>
    </row>
    <row r="12" spans="1:4" ht="12.75">
      <c r="A12" s="2" t="s">
        <v>86</v>
      </c>
      <c r="B12" s="263" t="s">
        <v>89</v>
      </c>
      <c r="C12" s="263"/>
      <c r="D12" s="71">
        <f>8.27*k</f>
        <v>4217.7</v>
      </c>
    </row>
    <row r="13" spans="1:4" ht="12.75">
      <c r="A13" s="2" t="s">
        <v>87</v>
      </c>
      <c r="B13" s="263" t="s">
        <v>88</v>
      </c>
      <c r="C13" s="263"/>
      <c r="D13" s="71">
        <f>20.67*k</f>
        <v>10541.7</v>
      </c>
    </row>
    <row r="14" spans="1:4" ht="15">
      <c r="A14" s="129" t="s">
        <v>439</v>
      </c>
      <c r="B14" s="263" t="s">
        <v>627</v>
      </c>
      <c r="C14" s="263"/>
      <c r="D14" s="71">
        <f>180*k</f>
        <v>91800</v>
      </c>
    </row>
    <row r="15" spans="1:4" ht="15">
      <c r="A15" s="129" t="s">
        <v>438</v>
      </c>
      <c r="B15" s="263" t="s">
        <v>628</v>
      </c>
      <c r="C15" s="263"/>
      <c r="D15" s="71">
        <f>150*k</f>
        <v>76500</v>
      </c>
    </row>
    <row r="16" spans="1:4" ht="15">
      <c r="A16" s="129" t="s">
        <v>625</v>
      </c>
      <c r="B16" s="263" t="s">
        <v>629</v>
      </c>
      <c r="C16" s="263"/>
      <c r="D16" s="71">
        <f>180*k</f>
        <v>91800</v>
      </c>
    </row>
    <row r="17" spans="1:4" ht="15">
      <c r="A17" s="129" t="s">
        <v>626</v>
      </c>
      <c r="B17" s="263" t="s">
        <v>630</v>
      </c>
      <c r="C17" s="263"/>
      <c r="D17" s="71">
        <f>150*k</f>
        <v>76500</v>
      </c>
    </row>
    <row r="20" ht="12" customHeight="1"/>
  </sheetData>
  <sheetProtection/>
  <mergeCells count="17">
    <mergeCell ref="B8:C8"/>
    <mergeCell ref="B5:C5"/>
    <mergeCell ref="B11:C11"/>
    <mergeCell ref="B12:C12"/>
    <mergeCell ref="B13:C13"/>
    <mergeCell ref="B6:C6"/>
    <mergeCell ref="B7:C7"/>
    <mergeCell ref="B15:C15"/>
    <mergeCell ref="B16:C16"/>
    <mergeCell ref="B17:C17"/>
    <mergeCell ref="A1:D1"/>
    <mergeCell ref="B9:C9"/>
    <mergeCell ref="B10:C10"/>
    <mergeCell ref="B2:C2"/>
    <mergeCell ref="A3:D3"/>
    <mergeCell ref="B14:C14"/>
    <mergeCell ref="B4:C4"/>
  </mergeCells>
  <hyperlinks>
    <hyperlink ref="A1:D1" location="Оглавление!R1C1" display="Вернуться в Оглавление"/>
  </hyperlinks>
  <printOptions/>
  <pageMargins left="0.75" right="0.75" top="1" bottom="1" header="0.5" footer="0.5"/>
  <pageSetup horizontalDpi="600" verticalDpi="600" orientation="portrait" paperSize="9" scale="7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66FF33"/>
  </sheetPr>
  <dimension ref="A1:D16"/>
  <sheetViews>
    <sheetView zoomScaleSheetLayoutView="100" zoomScalePageLayoutView="0" workbookViewId="0" topLeftCell="A1">
      <selection activeCell="B12" sqref="B12:C12"/>
    </sheetView>
  </sheetViews>
  <sheetFormatPr defaultColWidth="8.875" defaultRowHeight="12.75"/>
  <cols>
    <col min="1" max="1" width="10.375" style="0" customWidth="1"/>
    <col min="2" max="2" width="26.375" style="0" customWidth="1"/>
    <col min="3" max="3" width="62.125" style="0" customWidth="1"/>
    <col min="4" max="4" width="12.375" style="0" customWidth="1"/>
  </cols>
  <sheetData>
    <row r="1" spans="1:4" ht="16.5" thickBot="1">
      <c r="A1" s="155" t="s">
        <v>151</v>
      </c>
      <c r="B1" s="155"/>
      <c r="C1" s="155"/>
      <c r="D1" s="155"/>
    </row>
    <row r="2" spans="1:4" ht="15" thickBot="1">
      <c r="A2" s="7" t="s">
        <v>0</v>
      </c>
      <c r="B2" s="234" t="s">
        <v>1</v>
      </c>
      <c r="C2" s="235"/>
      <c r="D2" s="8" t="s">
        <v>75</v>
      </c>
    </row>
    <row r="3" spans="1:4" ht="16.5" thickBot="1">
      <c r="A3" s="160" t="s">
        <v>21</v>
      </c>
      <c r="B3" s="161"/>
      <c r="C3" s="161"/>
      <c r="D3" s="162"/>
    </row>
    <row r="4" spans="1:4" ht="12.75">
      <c r="A4" s="12" t="s">
        <v>22</v>
      </c>
      <c r="B4" s="211" t="s">
        <v>219</v>
      </c>
      <c r="C4" s="212"/>
      <c r="D4" s="34">
        <f>250*k</f>
        <v>127500</v>
      </c>
    </row>
    <row r="5" spans="1:4" s="46" customFormat="1" ht="12.75">
      <c r="A5" s="56" t="s">
        <v>23</v>
      </c>
      <c r="B5" s="209" t="s">
        <v>220</v>
      </c>
      <c r="C5" s="210"/>
      <c r="D5" s="51">
        <f>350*k</f>
        <v>178500</v>
      </c>
    </row>
    <row r="6" spans="1:4" ht="12.75">
      <c r="A6" s="12" t="s">
        <v>261</v>
      </c>
      <c r="B6" s="211" t="s">
        <v>221</v>
      </c>
      <c r="C6" s="212"/>
      <c r="D6" s="34">
        <f>390*k</f>
        <v>198900</v>
      </c>
    </row>
    <row r="7" spans="1:4" ht="24" customHeight="1">
      <c r="A7" s="12" t="s">
        <v>262</v>
      </c>
      <c r="B7" s="199" t="s">
        <v>267</v>
      </c>
      <c r="C7" s="200"/>
      <c r="D7" s="34">
        <f>560*k</f>
        <v>285600</v>
      </c>
    </row>
    <row r="8" spans="1:4" ht="12.75">
      <c r="A8" s="12" t="s">
        <v>263</v>
      </c>
      <c r="B8" s="211" t="s">
        <v>265</v>
      </c>
      <c r="C8" s="212"/>
      <c r="D8" s="34">
        <f>200*k</f>
        <v>102000</v>
      </c>
    </row>
    <row r="9" spans="1:4" ht="24.75" customHeight="1">
      <c r="A9" s="48" t="s">
        <v>224</v>
      </c>
      <c r="B9" s="199" t="s">
        <v>225</v>
      </c>
      <c r="C9" s="200"/>
      <c r="D9" s="34">
        <f>660*k</f>
        <v>336600</v>
      </c>
    </row>
    <row r="10" spans="1:4" ht="37.5" customHeight="1">
      <c r="A10" s="48" t="s">
        <v>266</v>
      </c>
      <c r="B10" s="199" t="s">
        <v>268</v>
      </c>
      <c r="C10" s="200"/>
      <c r="D10" s="34">
        <f>690*k</f>
        <v>351900</v>
      </c>
    </row>
    <row r="11" spans="1:4" ht="12.75">
      <c r="A11" s="12" t="s">
        <v>269</v>
      </c>
      <c r="B11" s="211" t="s">
        <v>270</v>
      </c>
      <c r="C11" s="212"/>
      <c r="D11" s="34">
        <f>150*k</f>
        <v>76500</v>
      </c>
    </row>
    <row r="12" spans="1:4" ht="38.25" customHeight="1">
      <c r="A12" s="48" t="s">
        <v>264</v>
      </c>
      <c r="B12" s="199" t="s">
        <v>271</v>
      </c>
      <c r="C12" s="212"/>
      <c r="D12" s="34">
        <f>620*k</f>
        <v>316200</v>
      </c>
    </row>
    <row r="13" spans="1:4" ht="13.5" customHeight="1" thickBot="1">
      <c r="A13" s="52" t="s">
        <v>272</v>
      </c>
      <c r="B13" s="213" t="s">
        <v>273</v>
      </c>
      <c r="C13" s="214"/>
      <c r="D13" s="34">
        <f>725*k</f>
        <v>369750</v>
      </c>
    </row>
    <row r="14" spans="1:4" ht="27.75" customHeight="1" thickBot="1">
      <c r="A14" s="52" t="s">
        <v>402</v>
      </c>
      <c r="B14" s="199" t="s">
        <v>403</v>
      </c>
      <c r="C14" s="200"/>
      <c r="D14" s="34">
        <f>1215*k</f>
        <v>619650</v>
      </c>
    </row>
    <row r="15" spans="1:4" ht="13.5" thickBot="1">
      <c r="A15" s="52" t="s">
        <v>24</v>
      </c>
      <c r="B15" s="213" t="s">
        <v>25</v>
      </c>
      <c r="C15" s="214"/>
      <c r="D15" s="34">
        <f>55*k</f>
        <v>28050</v>
      </c>
    </row>
    <row r="16" spans="1:3" ht="27" customHeight="1">
      <c r="A16" s="205" t="s">
        <v>274</v>
      </c>
      <c r="B16" s="206"/>
      <c r="C16" s="206"/>
    </row>
  </sheetData>
  <sheetProtection/>
  <mergeCells count="16">
    <mergeCell ref="B12:C12"/>
    <mergeCell ref="A16:C16"/>
    <mergeCell ref="B7:C7"/>
    <mergeCell ref="B9:C9"/>
    <mergeCell ref="B8:C8"/>
    <mergeCell ref="B15:C15"/>
    <mergeCell ref="B10:C10"/>
    <mergeCell ref="B11:C11"/>
    <mergeCell ref="B13:C13"/>
    <mergeCell ref="B14:C14"/>
    <mergeCell ref="B6:C6"/>
    <mergeCell ref="A1:D1"/>
    <mergeCell ref="A3:D3"/>
    <mergeCell ref="B2:C2"/>
    <mergeCell ref="B4:C4"/>
    <mergeCell ref="B5:C5"/>
  </mergeCells>
  <hyperlinks>
    <hyperlink ref="A1:D1" location="Оглавление!R1C1" display="Вернуться в Оглавление"/>
  </hyperlinks>
  <printOptions/>
  <pageMargins left="0.75" right="0.75" top="1" bottom="1" header="0.5" footer="0.5"/>
  <pageSetup horizontalDpi="600" verticalDpi="600" orientation="portrait" paperSize="9" scale="78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D12"/>
  <sheetViews>
    <sheetView zoomScalePageLayoutView="0" workbookViewId="0" topLeftCell="A1">
      <selection activeCell="A8" sqref="A8"/>
    </sheetView>
  </sheetViews>
  <sheetFormatPr defaultColWidth="8.875" defaultRowHeight="12.75"/>
  <cols>
    <col min="1" max="1" width="24.375" style="0" customWidth="1"/>
    <col min="2" max="2" width="8.875" style="0" customWidth="1"/>
    <col min="3" max="3" width="43.25390625" style="0" customWidth="1"/>
    <col min="4" max="4" width="24.375" style="0" customWidth="1"/>
  </cols>
  <sheetData>
    <row r="1" spans="1:4" ht="16.5" thickBot="1">
      <c r="A1" s="155" t="s">
        <v>151</v>
      </c>
      <c r="B1" s="155"/>
      <c r="C1" s="155"/>
      <c r="D1" s="155"/>
    </row>
    <row r="2" spans="1:4" ht="15" thickBot="1">
      <c r="A2" s="8" t="s">
        <v>0</v>
      </c>
      <c r="B2" s="234" t="s">
        <v>1</v>
      </c>
      <c r="C2" s="235"/>
      <c r="D2" s="8" t="s">
        <v>75</v>
      </c>
    </row>
    <row r="3" spans="1:4" ht="16.5" thickBot="1">
      <c r="A3" s="160" t="s">
        <v>458</v>
      </c>
      <c r="B3" s="161"/>
      <c r="C3" s="161"/>
      <c r="D3" s="162"/>
    </row>
    <row r="4" spans="1:4" ht="12.75" customHeight="1">
      <c r="A4" s="12" t="s">
        <v>493</v>
      </c>
      <c r="B4" s="199" t="s">
        <v>452</v>
      </c>
      <c r="C4" s="200"/>
      <c r="D4" s="34">
        <f>115*k</f>
        <v>58650</v>
      </c>
    </row>
    <row r="5" spans="1:4" ht="12.75">
      <c r="A5" s="12" t="s">
        <v>454</v>
      </c>
      <c r="B5" s="199" t="s">
        <v>453</v>
      </c>
      <c r="C5" s="200"/>
      <c r="D5" s="34">
        <f>180*k</f>
        <v>91800</v>
      </c>
    </row>
    <row r="6" spans="1:4" ht="12.75">
      <c r="A6" s="12" t="s">
        <v>456</v>
      </c>
      <c r="B6" s="199" t="s">
        <v>455</v>
      </c>
      <c r="C6" s="200"/>
      <c r="D6" s="34">
        <f>270*k</f>
        <v>137700</v>
      </c>
    </row>
    <row r="7" spans="1:4" ht="12.75">
      <c r="A7" s="4" t="s">
        <v>494</v>
      </c>
      <c r="B7" s="211" t="s">
        <v>457</v>
      </c>
      <c r="C7" s="212"/>
      <c r="D7" s="34">
        <f>270*k</f>
        <v>137700</v>
      </c>
    </row>
    <row r="8" spans="1:4" ht="38.25" customHeight="1">
      <c r="A8" s="12" t="s">
        <v>495</v>
      </c>
      <c r="B8" s="199" t="s">
        <v>498</v>
      </c>
      <c r="C8" s="200"/>
      <c r="D8" s="34">
        <f>290*k</f>
        <v>147900</v>
      </c>
    </row>
    <row r="9" spans="1:4" ht="39.75" customHeight="1">
      <c r="A9" s="12" t="s">
        <v>496</v>
      </c>
      <c r="B9" s="199" t="s">
        <v>499</v>
      </c>
      <c r="C9" s="200"/>
      <c r="D9" s="34">
        <f>380*k</f>
        <v>193800</v>
      </c>
    </row>
    <row r="10" spans="1:4" ht="39.75" customHeight="1" thickBot="1">
      <c r="A10" s="4" t="s">
        <v>497</v>
      </c>
      <c r="B10" s="199" t="s">
        <v>500</v>
      </c>
      <c r="C10" s="200"/>
      <c r="D10" s="34">
        <f>380*k</f>
        <v>193800</v>
      </c>
    </row>
    <row r="11" spans="1:4" ht="16.5" thickBot="1">
      <c r="A11" s="160" t="s">
        <v>133</v>
      </c>
      <c r="B11" s="161"/>
      <c r="C11" s="161"/>
      <c r="D11" s="162"/>
    </row>
    <row r="12" spans="1:4" ht="114.75" customHeight="1">
      <c r="A12" s="12" t="s">
        <v>501</v>
      </c>
      <c r="B12" s="199" t="s">
        <v>502</v>
      </c>
      <c r="C12" s="200"/>
      <c r="D12" s="34">
        <f>130*k</f>
        <v>66300</v>
      </c>
    </row>
  </sheetData>
  <sheetProtection/>
  <mergeCells count="12">
    <mergeCell ref="A1:D1"/>
    <mergeCell ref="B2:C2"/>
    <mergeCell ref="A3:D3"/>
    <mergeCell ref="B4:C4"/>
    <mergeCell ref="B5:C5"/>
    <mergeCell ref="B6:C6"/>
    <mergeCell ref="B8:C8"/>
    <mergeCell ref="B9:C9"/>
    <mergeCell ref="B10:C10"/>
    <mergeCell ref="A11:D11"/>
    <mergeCell ref="B12:C12"/>
    <mergeCell ref="B7:C7"/>
  </mergeCells>
  <hyperlinks>
    <hyperlink ref="A1:D1" location="Оглавление!R1C1" display="Вернуться в Оглавление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3399"/>
  </sheetPr>
  <dimension ref="A1:D71"/>
  <sheetViews>
    <sheetView zoomScaleSheetLayoutView="100" zoomScalePageLayoutView="0" workbookViewId="0" topLeftCell="A31">
      <selection activeCell="I51" sqref="I51"/>
    </sheetView>
  </sheetViews>
  <sheetFormatPr defaultColWidth="8.875" defaultRowHeight="12.75"/>
  <cols>
    <col min="1" max="1" width="16.875" style="0" customWidth="1"/>
    <col min="2" max="2" width="43.25390625" style="0" customWidth="1"/>
    <col min="3" max="3" width="48.875" style="0" customWidth="1"/>
    <col min="4" max="4" width="12.375" style="0" customWidth="1"/>
    <col min="5" max="5" width="31.875" style="0" customWidth="1"/>
  </cols>
  <sheetData>
    <row r="1" spans="1:4" ht="12.75">
      <c r="A1" s="227"/>
      <c r="B1" s="227"/>
      <c r="C1" s="227"/>
      <c r="D1" s="227"/>
    </row>
    <row r="2" spans="1:4" ht="16.5" thickBot="1">
      <c r="A2" s="155" t="s">
        <v>151</v>
      </c>
      <c r="B2" s="155"/>
      <c r="C2" s="155"/>
      <c r="D2" s="155"/>
    </row>
    <row r="3" spans="1:4" s="46" customFormat="1" ht="16.5" customHeight="1" thickBot="1">
      <c r="A3" s="133" t="s">
        <v>0</v>
      </c>
      <c r="B3" s="156" t="s">
        <v>1</v>
      </c>
      <c r="C3" s="157"/>
      <c r="D3" s="134" t="s">
        <v>75</v>
      </c>
    </row>
    <row r="4" spans="1:4" ht="16.5" thickBot="1">
      <c r="A4" s="160" t="s">
        <v>2</v>
      </c>
      <c r="B4" s="161"/>
      <c r="C4" s="161"/>
      <c r="D4" s="162"/>
    </row>
    <row r="5" spans="1:4" ht="12.75">
      <c r="A5" s="110" t="s">
        <v>110</v>
      </c>
      <c r="B5" s="273" t="s">
        <v>631</v>
      </c>
      <c r="C5" s="274"/>
      <c r="D5" s="43">
        <f>1390*k</f>
        <v>708900</v>
      </c>
    </row>
    <row r="6" spans="1:4" ht="12.75">
      <c r="A6" s="61" t="s">
        <v>406</v>
      </c>
      <c r="B6" s="271" t="s">
        <v>462</v>
      </c>
      <c r="C6" s="272"/>
      <c r="D6" s="51">
        <f>1520*k</f>
        <v>775200</v>
      </c>
    </row>
    <row r="7" spans="1:4" s="17" customFormat="1" ht="12.75">
      <c r="A7" s="12" t="s">
        <v>111</v>
      </c>
      <c r="B7" s="199" t="s">
        <v>202</v>
      </c>
      <c r="C7" s="200"/>
      <c r="D7" s="51">
        <f>1720*k</f>
        <v>877200</v>
      </c>
    </row>
    <row r="8" spans="1:4" ht="24.75" customHeight="1">
      <c r="A8" s="12" t="s">
        <v>112</v>
      </c>
      <c r="B8" s="199" t="s">
        <v>214</v>
      </c>
      <c r="C8" s="200"/>
      <c r="D8" s="51">
        <f>1940*k</f>
        <v>989400</v>
      </c>
    </row>
    <row r="9" spans="1:4" ht="12.75">
      <c r="A9" s="12" t="s">
        <v>113</v>
      </c>
      <c r="B9" s="199" t="s">
        <v>203</v>
      </c>
      <c r="C9" s="200"/>
      <c r="D9" s="51">
        <f>1875*k</f>
        <v>956250</v>
      </c>
    </row>
    <row r="10" spans="1:4" ht="25.5" customHeight="1">
      <c r="A10" s="12" t="s">
        <v>204</v>
      </c>
      <c r="B10" s="199" t="s">
        <v>205</v>
      </c>
      <c r="C10" s="200"/>
      <c r="D10" s="51">
        <f>2065*k</f>
        <v>1053150</v>
      </c>
    </row>
    <row r="11" spans="1:4" ht="25.5" customHeight="1">
      <c r="A11" s="12" t="s">
        <v>275</v>
      </c>
      <c r="B11" s="199" t="s">
        <v>276</v>
      </c>
      <c r="C11" s="200"/>
      <c r="D11" s="51">
        <f>2605*k</f>
        <v>1328550</v>
      </c>
    </row>
    <row r="12" spans="1:4" ht="26.25" customHeight="1">
      <c r="A12" s="12" t="s">
        <v>206</v>
      </c>
      <c r="B12" s="199" t="s">
        <v>207</v>
      </c>
      <c r="C12" s="200"/>
      <c r="D12" s="51">
        <f>2135*k</f>
        <v>1088850</v>
      </c>
    </row>
    <row r="13" spans="1:4" ht="26.25" customHeight="1">
      <c r="A13" s="48" t="s">
        <v>208</v>
      </c>
      <c r="B13" s="199" t="s">
        <v>209</v>
      </c>
      <c r="C13" s="200"/>
      <c r="D13" s="51">
        <f>2135*k</f>
        <v>1088850</v>
      </c>
    </row>
    <row r="14" spans="1:4" ht="24.75" customHeight="1" thickBot="1">
      <c r="A14" s="48" t="s">
        <v>114</v>
      </c>
      <c r="B14" s="203" t="s">
        <v>210</v>
      </c>
      <c r="C14" s="204"/>
      <c r="D14" s="51">
        <f>2195*k</f>
        <v>1119450</v>
      </c>
    </row>
    <row r="15" spans="1:4" ht="16.5" thickBot="1">
      <c r="A15" s="160" t="s">
        <v>3</v>
      </c>
      <c r="B15" s="161"/>
      <c r="C15" s="161"/>
      <c r="D15" s="162"/>
    </row>
    <row r="16" spans="1:4" ht="15" customHeight="1">
      <c r="A16" s="109" t="s">
        <v>115</v>
      </c>
      <c r="B16" s="109" t="s">
        <v>211</v>
      </c>
      <c r="C16" s="109"/>
      <c r="D16" s="43">
        <f>(1650)*k</f>
        <v>841500</v>
      </c>
    </row>
    <row r="17" spans="1:4" s="17" customFormat="1" ht="12.75">
      <c r="A17" s="50" t="s">
        <v>116</v>
      </c>
      <c r="B17" s="199" t="s">
        <v>212</v>
      </c>
      <c r="C17" s="200"/>
      <c r="D17" s="51">
        <f>2320*k</f>
        <v>1183200</v>
      </c>
    </row>
    <row r="18" spans="1:4" ht="25.5" customHeight="1">
      <c r="A18" s="12" t="s">
        <v>117</v>
      </c>
      <c r="B18" s="199" t="s">
        <v>213</v>
      </c>
      <c r="C18" s="200"/>
      <c r="D18" s="51">
        <f>2340*k</f>
        <v>1193400</v>
      </c>
    </row>
    <row r="19" spans="1:4" ht="27.75" customHeight="1">
      <c r="A19" s="12" t="s">
        <v>215</v>
      </c>
      <c r="B19" s="199" t="s">
        <v>216</v>
      </c>
      <c r="C19" s="200"/>
      <c r="D19" s="51">
        <f>2665*k</f>
        <v>1359150</v>
      </c>
    </row>
    <row r="20" spans="1:4" ht="29.25" customHeight="1" thickBot="1">
      <c r="A20" s="12" t="s">
        <v>217</v>
      </c>
      <c r="B20" s="199" t="s">
        <v>218</v>
      </c>
      <c r="C20" s="200"/>
      <c r="D20" s="51">
        <f>2735*k</f>
        <v>1394850</v>
      </c>
    </row>
    <row r="21" spans="1:4" ht="16.5" thickBot="1">
      <c r="A21" s="160" t="s">
        <v>6</v>
      </c>
      <c r="B21" s="161"/>
      <c r="C21" s="161"/>
      <c r="D21" s="162"/>
    </row>
    <row r="22" spans="1:4" ht="12.75">
      <c r="A22" s="19" t="s">
        <v>105</v>
      </c>
      <c r="B22" s="22" t="s">
        <v>77</v>
      </c>
      <c r="C22" s="23" t="s">
        <v>368</v>
      </c>
      <c r="D22" s="43">
        <f>87*k</f>
        <v>44370</v>
      </c>
    </row>
    <row r="23" spans="1:4" ht="12.75">
      <c r="A23" s="57" t="s">
        <v>106</v>
      </c>
      <c r="B23" s="44" t="s">
        <v>77</v>
      </c>
      <c r="C23" s="44" t="s">
        <v>369</v>
      </c>
      <c r="D23" s="53">
        <f>66*k</f>
        <v>33660</v>
      </c>
    </row>
    <row r="24" spans="1:4" ht="24.75" thickBot="1">
      <c r="A24" s="12" t="s">
        <v>7</v>
      </c>
      <c r="B24" s="55" t="s">
        <v>78</v>
      </c>
      <c r="C24" s="33" t="s">
        <v>370</v>
      </c>
      <c r="D24" s="51">
        <f>74*k</f>
        <v>37740</v>
      </c>
    </row>
    <row r="25" spans="1:4" ht="16.5" thickBot="1">
      <c r="A25" s="160" t="s">
        <v>399</v>
      </c>
      <c r="B25" s="223"/>
      <c r="C25" s="223"/>
      <c r="D25" s="224"/>
    </row>
    <row r="26" spans="1:4" ht="24.75" customHeight="1">
      <c r="A26" s="102" t="s">
        <v>277</v>
      </c>
      <c r="B26" s="103" t="s">
        <v>278</v>
      </c>
      <c r="C26" s="3" t="s">
        <v>395</v>
      </c>
      <c r="D26" s="51">
        <f>64*k</f>
        <v>32640</v>
      </c>
    </row>
    <row r="27" spans="1:4" ht="24">
      <c r="A27" s="48" t="s">
        <v>76</v>
      </c>
      <c r="B27" s="104" t="s">
        <v>80</v>
      </c>
      <c r="C27" s="11" t="s">
        <v>396</v>
      </c>
      <c r="D27" s="51">
        <f>75*k</f>
        <v>38250</v>
      </c>
    </row>
    <row r="28" spans="1:4" ht="30.75" customHeight="1" thickBot="1">
      <c r="A28" s="12" t="s">
        <v>280</v>
      </c>
      <c r="B28" s="55" t="s">
        <v>281</v>
      </c>
      <c r="C28" s="33" t="s">
        <v>397</v>
      </c>
      <c r="D28" s="49">
        <f>105*k</f>
        <v>53550</v>
      </c>
    </row>
    <row r="29" spans="1:4" ht="16.5" thickBot="1">
      <c r="A29" s="160" t="s">
        <v>8</v>
      </c>
      <c r="B29" s="161"/>
      <c r="C29" s="161"/>
      <c r="D29" s="162"/>
    </row>
    <row r="30" spans="1:4" ht="12.75">
      <c r="A30" s="57" t="s">
        <v>19</v>
      </c>
      <c r="B30" s="225" t="s">
        <v>366</v>
      </c>
      <c r="C30" s="226"/>
      <c r="D30" s="51">
        <f>72*k</f>
        <v>36720</v>
      </c>
    </row>
    <row r="31" spans="1:4" ht="12.75" customHeight="1">
      <c r="A31" s="5" t="s">
        <v>175</v>
      </c>
      <c r="B31" s="199" t="s">
        <v>367</v>
      </c>
      <c r="C31" s="200"/>
      <c r="D31" s="51">
        <f>25*k</f>
        <v>12750</v>
      </c>
    </row>
    <row r="32" spans="1:4" ht="12.75" customHeight="1">
      <c r="A32" s="4" t="s">
        <v>9</v>
      </c>
      <c r="B32" s="199" t="s">
        <v>372</v>
      </c>
      <c r="C32" s="200"/>
      <c r="D32" s="51">
        <f>35*k</f>
        <v>17850</v>
      </c>
    </row>
    <row r="33" spans="1:4" ht="12.75">
      <c r="A33" s="4" t="s">
        <v>10</v>
      </c>
      <c r="B33" s="199" t="s">
        <v>373</v>
      </c>
      <c r="C33" s="200"/>
      <c r="D33" s="51">
        <f>35*k</f>
        <v>17850</v>
      </c>
    </row>
    <row r="34" spans="1:4" ht="12.75">
      <c r="A34" s="4" t="s">
        <v>11</v>
      </c>
      <c r="B34" s="199" t="s">
        <v>374</v>
      </c>
      <c r="C34" s="200"/>
      <c r="D34" s="51">
        <f>35*k</f>
        <v>17850</v>
      </c>
    </row>
    <row r="35" spans="1:4" ht="12.75">
      <c r="A35" s="4" t="s">
        <v>12</v>
      </c>
      <c r="B35" s="199" t="s">
        <v>375</v>
      </c>
      <c r="C35" s="200"/>
      <c r="D35" s="51">
        <f>33*k</f>
        <v>16830</v>
      </c>
    </row>
    <row r="36" spans="1:4" ht="12.75">
      <c r="A36" s="4" t="s">
        <v>13</v>
      </c>
      <c r="B36" s="199" t="s">
        <v>376</v>
      </c>
      <c r="C36" s="200"/>
      <c r="D36" s="51">
        <f>70*k</f>
        <v>35700</v>
      </c>
    </row>
    <row r="37" spans="1:4" ht="12.75">
      <c r="A37" s="4" t="s">
        <v>14</v>
      </c>
      <c r="B37" s="199" t="s">
        <v>377</v>
      </c>
      <c r="C37" s="200"/>
      <c r="D37" s="51">
        <f>70*k</f>
        <v>35700</v>
      </c>
    </row>
    <row r="38" spans="1:4" ht="12.75" customHeight="1">
      <c r="A38" s="4" t="s">
        <v>15</v>
      </c>
      <c r="B38" s="199" t="s">
        <v>378</v>
      </c>
      <c r="C38" s="200"/>
      <c r="D38" s="51">
        <f>50*k</f>
        <v>25500</v>
      </c>
    </row>
    <row r="39" spans="1:4" ht="12.75">
      <c r="A39" s="102" t="s">
        <v>16</v>
      </c>
      <c r="B39" s="199" t="s">
        <v>394</v>
      </c>
      <c r="C39" s="200"/>
      <c r="D39" s="51">
        <f>20*k</f>
        <v>10200</v>
      </c>
    </row>
    <row r="40" spans="1:4" ht="12.75" customHeight="1">
      <c r="A40" s="4" t="s">
        <v>17</v>
      </c>
      <c r="B40" s="199" t="s">
        <v>380</v>
      </c>
      <c r="C40" s="200"/>
      <c r="D40" s="51">
        <f>43*k</f>
        <v>21930</v>
      </c>
    </row>
    <row r="41" spans="1:4" ht="13.5" thickBot="1">
      <c r="A41" s="6" t="s">
        <v>18</v>
      </c>
      <c r="B41" s="219" t="s">
        <v>381</v>
      </c>
      <c r="C41" s="220"/>
      <c r="D41" s="51">
        <f>75*k</f>
        <v>38250</v>
      </c>
    </row>
    <row r="42" spans="1:4" ht="16.5" thickBot="1">
      <c r="A42" s="160" t="s">
        <v>74</v>
      </c>
      <c r="B42" s="161"/>
      <c r="C42" s="161"/>
      <c r="D42" s="162"/>
    </row>
    <row r="43" spans="1:4" ht="12.75">
      <c r="A43" s="10" t="s">
        <v>4</v>
      </c>
      <c r="B43" s="275" t="s">
        <v>223</v>
      </c>
      <c r="C43" s="222"/>
      <c r="D43" s="16">
        <f>250*k</f>
        <v>127500</v>
      </c>
    </row>
    <row r="44" spans="1:4" ht="12.75">
      <c r="A44" s="107" t="s">
        <v>5</v>
      </c>
      <c r="B44" s="217" t="s">
        <v>222</v>
      </c>
      <c r="C44" s="218"/>
      <c r="D44" s="20">
        <f>290*k</f>
        <v>147900</v>
      </c>
    </row>
    <row r="45" spans="1:4" ht="12.75">
      <c r="A45" s="12" t="s">
        <v>22</v>
      </c>
      <c r="B45" s="211" t="s">
        <v>219</v>
      </c>
      <c r="C45" s="212"/>
      <c r="D45" s="34">
        <f>250*k</f>
        <v>127500</v>
      </c>
    </row>
    <row r="46" spans="1:4" s="46" customFormat="1" ht="12.75">
      <c r="A46" s="56" t="s">
        <v>23</v>
      </c>
      <c r="B46" s="209" t="s">
        <v>220</v>
      </c>
      <c r="C46" s="210"/>
      <c r="D46" s="51">
        <f>315*k</f>
        <v>160650</v>
      </c>
    </row>
    <row r="47" spans="1:4" ht="12.75">
      <c r="A47" s="12" t="s">
        <v>261</v>
      </c>
      <c r="B47" s="211" t="s">
        <v>221</v>
      </c>
      <c r="C47" s="212"/>
      <c r="D47" s="34">
        <f>390*k</f>
        <v>198900</v>
      </c>
    </row>
    <row r="48" spans="1:4" ht="12.75" customHeight="1">
      <c r="A48" s="12" t="s">
        <v>262</v>
      </c>
      <c r="B48" s="199" t="s">
        <v>267</v>
      </c>
      <c r="C48" s="200"/>
      <c r="D48" s="34">
        <f>560*k</f>
        <v>285600</v>
      </c>
    </row>
    <row r="49" spans="1:4" ht="12.75">
      <c r="A49" s="12" t="s">
        <v>263</v>
      </c>
      <c r="B49" s="211" t="s">
        <v>265</v>
      </c>
      <c r="C49" s="212"/>
      <c r="D49" s="34">
        <f>200*k</f>
        <v>102000</v>
      </c>
    </row>
    <row r="50" spans="1:4" ht="12.75" customHeight="1">
      <c r="A50" s="48" t="s">
        <v>224</v>
      </c>
      <c r="B50" s="199" t="s">
        <v>225</v>
      </c>
      <c r="C50" s="200"/>
      <c r="D50" s="34">
        <f>600*k</f>
        <v>306000</v>
      </c>
    </row>
    <row r="51" spans="1:4" ht="42" customHeight="1">
      <c r="A51" s="48" t="s">
        <v>266</v>
      </c>
      <c r="B51" s="199" t="s">
        <v>268</v>
      </c>
      <c r="C51" s="200"/>
      <c r="D51" s="34">
        <f>620*k</f>
        <v>316200</v>
      </c>
    </row>
    <row r="52" spans="1:4" ht="27.75" customHeight="1">
      <c r="A52" s="48" t="s">
        <v>402</v>
      </c>
      <c r="B52" s="199" t="s">
        <v>482</v>
      </c>
      <c r="C52" s="200"/>
      <c r="D52" s="34">
        <f>1100*k</f>
        <v>561000</v>
      </c>
    </row>
    <row r="53" spans="1:4" ht="27.75" customHeight="1">
      <c r="A53" s="48" t="s">
        <v>483</v>
      </c>
      <c r="B53" s="199" t="s">
        <v>484</v>
      </c>
      <c r="C53" s="200"/>
      <c r="D53" s="34">
        <f>1100*k</f>
        <v>561000</v>
      </c>
    </row>
    <row r="54" spans="1:4" ht="12.75">
      <c r="A54" s="12" t="s">
        <v>269</v>
      </c>
      <c r="B54" s="211" t="s">
        <v>270</v>
      </c>
      <c r="C54" s="212"/>
      <c r="D54" s="34">
        <f>150*k</f>
        <v>76500</v>
      </c>
    </row>
    <row r="55" spans="1:4" ht="12.75" customHeight="1">
      <c r="A55" s="48" t="s">
        <v>264</v>
      </c>
      <c r="B55" s="199" t="s">
        <v>271</v>
      </c>
      <c r="C55" s="200"/>
      <c r="D55" s="34">
        <f>620*k</f>
        <v>316200</v>
      </c>
    </row>
    <row r="56" spans="1:4" ht="13.5" thickBot="1">
      <c r="A56" s="52" t="s">
        <v>272</v>
      </c>
      <c r="B56" s="213" t="s">
        <v>273</v>
      </c>
      <c r="C56" s="214"/>
      <c r="D56" s="34">
        <f>725*k</f>
        <v>369750</v>
      </c>
    </row>
    <row r="57" spans="1:4" ht="13.5" thickBot="1">
      <c r="A57" s="52" t="s">
        <v>24</v>
      </c>
      <c r="B57" s="215" t="s">
        <v>25</v>
      </c>
      <c r="C57" s="216"/>
      <c r="D57" s="34">
        <f>55*k</f>
        <v>28050</v>
      </c>
    </row>
    <row r="58" spans="1:4" ht="27.75" customHeight="1" thickBot="1">
      <c r="A58" s="52" t="s">
        <v>297</v>
      </c>
      <c r="B58" s="203" t="s">
        <v>475</v>
      </c>
      <c r="C58" s="204"/>
      <c r="D58" s="34">
        <f>115*k</f>
        <v>58650</v>
      </c>
    </row>
    <row r="59" spans="1:4" ht="15.75" customHeight="1" thickBot="1">
      <c r="A59" s="52" t="s">
        <v>476</v>
      </c>
      <c r="B59" s="203" t="s">
        <v>477</v>
      </c>
      <c r="C59" s="204"/>
      <c r="D59" s="34">
        <f>20*k</f>
        <v>10200</v>
      </c>
    </row>
    <row r="60" spans="1:4" ht="24" customHeight="1" thickBot="1">
      <c r="A60" s="52" t="s">
        <v>404</v>
      </c>
      <c r="B60" s="199" t="s">
        <v>405</v>
      </c>
      <c r="C60" s="200"/>
      <c r="D60" s="34">
        <f>150*k</f>
        <v>76500</v>
      </c>
    </row>
    <row r="61" spans="1:3" ht="57.75" customHeight="1" thickBot="1">
      <c r="A61" s="205" t="s">
        <v>274</v>
      </c>
      <c r="B61" s="206"/>
      <c r="C61" s="206"/>
    </row>
    <row r="62" spans="1:4" ht="16.5" thickBot="1">
      <c r="A62" s="160" t="s">
        <v>488</v>
      </c>
      <c r="B62" s="161"/>
      <c r="C62" s="161"/>
      <c r="D62" s="162"/>
    </row>
    <row r="63" spans="1:4" ht="13.5" thickBot="1">
      <c r="A63" s="52" t="s">
        <v>297</v>
      </c>
      <c r="B63" s="203" t="s">
        <v>475</v>
      </c>
      <c r="C63" s="204"/>
      <c r="D63" s="34">
        <f>115*k</f>
        <v>58650</v>
      </c>
    </row>
    <row r="64" spans="1:4" ht="13.5" thickBot="1">
      <c r="A64" s="52" t="s">
        <v>476</v>
      </c>
      <c r="B64" s="208" t="s">
        <v>477</v>
      </c>
      <c r="C64" s="208"/>
      <c r="D64" s="34">
        <f>15*k</f>
        <v>7650</v>
      </c>
    </row>
    <row r="65" spans="1:4" ht="12.75">
      <c r="A65" s="56" t="s">
        <v>51</v>
      </c>
      <c r="B65" s="209" t="s">
        <v>487</v>
      </c>
      <c r="C65" s="210"/>
      <c r="D65" s="24">
        <f>_xlfn.FLOOR.PRECISE(36*k,100)</f>
        <v>18300</v>
      </c>
    </row>
    <row r="66" spans="1:4" ht="12.75">
      <c r="A66" s="56" t="s">
        <v>52</v>
      </c>
      <c r="B66" s="211" t="s">
        <v>53</v>
      </c>
      <c r="C66" s="212"/>
      <c r="D66" s="24">
        <f>44*k</f>
        <v>22440</v>
      </c>
    </row>
    <row r="67" spans="1:4" ht="12.75">
      <c r="A67" s="56" t="s">
        <v>99</v>
      </c>
      <c r="B67" s="199" t="s">
        <v>102</v>
      </c>
      <c r="C67" s="212"/>
      <c r="D67" s="24">
        <f>96*k</f>
        <v>48960</v>
      </c>
    </row>
    <row r="68" spans="1:4" ht="12.75">
      <c r="A68" s="56" t="s">
        <v>100</v>
      </c>
      <c r="B68" s="211" t="s">
        <v>103</v>
      </c>
      <c r="C68" s="212"/>
      <c r="D68" s="24">
        <f>43*k</f>
        <v>21930</v>
      </c>
    </row>
    <row r="69" spans="1:4" ht="12.75">
      <c r="A69" s="56" t="s">
        <v>101</v>
      </c>
      <c r="B69" s="199" t="s">
        <v>104</v>
      </c>
      <c r="C69" s="212"/>
      <c r="D69" s="24">
        <f>13*k</f>
        <v>6630</v>
      </c>
    </row>
    <row r="70" spans="1:4" ht="12.75">
      <c r="A70" s="48" t="s">
        <v>59</v>
      </c>
      <c r="B70" s="211" t="s">
        <v>235</v>
      </c>
      <c r="C70" s="212"/>
      <c r="D70" s="34">
        <f>35*k</f>
        <v>17850</v>
      </c>
    </row>
    <row r="71" spans="1:4" ht="12.75">
      <c r="A71" s="12" t="s">
        <v>60</v>
      </c>
      <c r="B71" s="211" t="s">
        <v>234</v>
      </c>
      <c r="C71" s="212"/>
      <c r="D71" s="34">
        <f>10*k</f>
        <v>5100</v>
      </c>
    </row>
  </sheetData>
  <sheetProtection/>
  <mergeCells count="64">
    <mergeCell ref="A61:C61"/>
    <mergeCell ref="B43:C43"/>
    <mergeCell ref="B44:C44"/>
    <mergeCell ref="B49:C49"/>
    <mergeCell ref="B50:C50"/>
    <mergeCell ref="B51:C51"/>
    <mergeCell ref="B54:C54"/>
    <mergeCell ref="B55:C55"/>
    <mergeCell ref="B60:C60"/>
    <mergeCell ref="B57:C57"/>
    <mergeCell ref="A42:D42"/>
    <mergeCell ref="B45:C45"/>
    <mergeCell ref="B46:C46"/>
    <mergeCell ref="B47:C47"/>
    <mergeCell ref="B48:C48"/>
    <mergeCell ref="B56:C56"/>
    <mergeCell ref="B39:C39"/>
    <mergeCell ref="B31:C31"/>
    <mergeCell ref="B40:C40"/>
    <mergeCell ref="B41:C41"/>
    <mergeCell ref="B38:C38"/>
    <mergeCell ref="A21:D21"/>
    <mergeCell ref="A29:D29"/>
    <mergeCell ref="B35:C35"/>
    <mergeCell ref="B36:C36"/>
    <mergeCell ref="B37:C37"/>
    <mergeCell ref="B34:C34"/>
    <mergeCell ref="B10:C10"/>
    <mergeCell ref="B12:C12"/>
    <mergeCell ref="B14:C14"/>
    <mergeCell ref="A15:D15"/>
    <mergeCell ref="B13:C13"/>
    <mergeCell ref="B19:C19"/>
    <mergeCell ref="A25:D25"/>
    <mergeCell ref="B32:C32"/>
    <mergeCell ref="A2:D2"/>
    <mergeCell ref="B17:C17"/>
    <mergeCell ref="A4:D4"/>
    <mergeCell ref="B3:C3"/>
    <mergeCell ref="B5:C5"/>
    <mergeCell ref="B33:C33"/>
    <mergeCell ref="B7:C7"/>
    <mergeCell ref="B8:C8"/>
    <mergeCell ref="B9:C9"/>
    <mergeCell ref="B58:C58"/>
    <mergeCell ref="B59:C59"/>
    <mergeCell ref="B52:C52"/>
    <mergeCell ref="B53:C53"/>
    <mergeCell ref="A1:D1"/>
    <mergeCell ref="B6:C6"/>
    <mergeCell ref="B30:C30"/>
    <mergeCell ref="B18:C18"/>
    <mergeCell ref="B20:C20"/>
    <mergeCell ref="B11:C11"/>
    <mergeCell ref="B68:C68"/>
    <mergeCell ref="B69:C69"/>
    <mergeCell ref="B70:C70"/>
    <mergeCell ref="B71:C71"/>
    <mergeCell ref="A62:D62"/>
    <mergeCell ref="B63:C63"/>
    <mergeCell ref="B64:C64"/>
    <mergeCell ref="B65:C65"/>
    <mergeCell ref="B66:C66"/>
    <mergeCell ref="B67:C67"/>
  </mergeCells>
  <hyperlinks>
    <hyperlink ref="A2:D2" location="Оглавление!R1C1" display="Вернуться в Оглавление"/>
  </hyperlinks>
  <printOptions/>
  <pageMargins left="0.75" right="0.75" top="1" bottom="1" header="0.5" footer="0.5"/>
  <pageSetup horizontalDpi="600" verticalDpi="600" orientation="portrait" paperSize="9" scale="59"/>
  <colBreaks count="1" manualBreakCount="1">
    <brk id="7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3399"/>
  </sheetPr>
  <dimension ref="A1:J77"/>
  <sheetViews>
    <sheetView zoomScale="110" zoomScaleNormal="110" zoomScaleSheetLayoutView="100" zoomScalePageLayoutView="0" workbookViewId="0" topLeftCell="A1">
      <selection activeCell="H47" sqref="H47"/>
    </sheetView>
  </sheetViews>
  <sheetFormatPr defaultColWidth="8.875" defaultRowHeight="12.75"/>
  <cols>
    <col min="1" max="1" width="15.375" style="0" customWidth="1"/>
    <col min="2" max="2" width="42.00390625" style="0" customWidth="1"/>
    <col min="3" max="3" width="53.125" style="0" customWidth="1"/>
    <col min="4" max="4" width="12.375" style="0" customWidth="1"/>
    <col min="5" max="9" width="8.875" style="0" customWidth="1"/>
    <col min="10" max="10" width="18.75390625" style="0" customWidth="1"/>
  </cols>
  <sheetData>
    <row r="1" spans="1:4" ht="12.75">
      <c r="A1" s="227"/>
      <c r="B1" s="227"/>
      <c r="C1" s="227"/>
      <c r="D1" s="227"/>
    </row>
    <row r="2" spans="1:4" ht="16.5" thickBot="1">
      <c r="A2" s="155" t="s">
        <v>151</v>
      </c>
      <c r="B2" s="155"/>
      <c r="C2" s="155"/>
      <c r="D2" s="155"/>
    </row>
    <row r="3" spans="1:4" ht="16.5" customHeight="1" thickBot="1">
      <c r="A3" s="7" t="s">
        <v>0</v>
      </c>
      <c r="B3" s="234" t="s">
        <v>1</v>
      </c>
      <c r="C3" s="235"/>
      <c r="D3" s="8" t="s">
        <v>75</v>
      </c>
    </row>
    <row r="4" spans="1:4" ht="16.5" thickBot="1">
      <c r="A4" s="160" t="s">
        <v>412</v>
      </c>
      <c r="B4" s="161"/>
      <c r="C4" s="161"/>
      <c r="D4" s="162"/>
    </row>
    <row r="5" spans="1:4" s="17" customFormat="1" ht="12.75">
      <c r="A5" s="50" t="s">
        <v>298</v>
      </c>
      <c r="B5" s="199" t="s">
        <v>411</v>
      </c>
      <c r="C5" s="200"/>
      <c r="D5" s="51">
        <f>2980*k</f>
        <v>1519800</v>
      </c>
    </row>
    <row r="6" spans="1:4" ht="24.75" customHeight="1">
      <c r="A6" s="50" t="s">
        <v>299</v>
      </c>
      <c r="B6" s="199" t="s">
        <v>410</v>
      </c>
      <c r="C6" s="200"/>
      <c r="D6" s="51">
        <f>3330*k</f>
        <v>1698300</v>
      </c>
    </row>
    <row r="7" spans="1:4" ht="12.75">
      <c r="A7" s="50" t="s">
        <v>634</v>
      </c>
      <c r="B7" s="199" t="s">
        <v>635</v>
      </c>
      <c r="C7" s="200"/>
      <c r="D7" s="51">
        <f>3465*k</f>
        <v>1767150</v>
      </c>
    </row>
    <row r="8" spans="1:4" ht="25.5" customHeight="1">
      <c r="A8" s="50" t="s">
        <v>300</v>
      </c>
      <c r="B8" s="199" t="s">
        <v>636</v>
      </c>
      <c r="C8" s="200"/>
      <c r="D8" s="51">
        <f>3655*k</f>
        <v>1864050</v>
      </c>
    </row>
    <row r="9" spans="1:4" ht="25.5" customHeight="1">
      <c r="A9" s="50" t="s">
        <v>301</v>
      </c>
      <c r="B9" s="199" t="s">
        <v>637</v>
      </c>
      <c r="C9" s="200"/>
      <c r="D9" s="51">
        <f>3725*k</f>
        <v>1899750</v>
      </c>
    </row>
    <row r="10" spans="1:10" ht="26.25" customHeight="1" thickBot="1">
      <c r="A10" s="50" t="s">
        <v>638</v>
      </c>
      <c r="B10" s="199" t="s">
        <v>639</v>
      </c>
      <c r="C10" s="200"/>
      <c r="D10" s="51">
        <f>3785*k</f>
        <v>1930350</v>
      </c>
      <c r="J10" s="29"/>
    </row>
    <row r="11" spans="1:10" ht="16.5" thickBot="1">
      <c r="A11" s="160" t="s">
        <v>3</v>
      </c>
      <c r="B11" s="161"/>
      <c r="C11" s="161"/>
      <c r="D11" s="162"/>
      <c r="J11" s="29"/>
    </row>
    <row r="12" spans="1:10" ht="12.75">
      <c r="A12" s="61" t="s">
        <v>302</v>
      </c>
      <c r="B12" s="276" t="s">
        <v>413</v>
      </c>
      <c r="C12" s="277"/>
      <c r="D12" s="51">
        <f>3190*k</f>
        <v>1626900</v>
      </c>
      <c r="J12" s="29"/>
    </row>
    <row r="13" spans="1:4" s="46" customFormat="1" ht="13.5" thickBot="1">
      <c r="A13" s="61" t="s">
        <v>478</v>
      </c>
      <c r="B13" s="276" t="s">
        <v>479</v>
      </c>
      <c r="C13" s="277"/>
      <c r="D13" s="51">
        <f>3320*k</f>
        <v>1693200</v>
      </c>
    </row>
    <row r="14" spans="1:10" ht="16.5" thickBot="1">
      <c r="A14" s="160" t="s">
        <v>463</v>
      </c>
      <c r="B14" s="161"/>
      <c r="C14" s="161"/>
      <c r="D14" s="162"/>
      <c r="J14" s="29"/>
    </row>
    <row r="15" spans="1:10" ht="13.5" thickBot="1">
      <c r="A15" s="10" t="s">
        <v>449</v>
      </c>
      <c r="B15" s="215" t="s">
        <v>450</v>
      </c>
      <c r="C15" s="216"/>
      <c r="D15" s="16">
        <f>1690*k</f>
        <v>861900</v>
      </c>
      <c r="J15" s="29"/>
    </row>
    <row r="16" spans="1:4" ht="13.5" thickBot="1">
      <c r="A16" s="10" t="s">
        <v>480</v>
      </c>
      <c r="B16" s="215" t="s">
        <v>481</v>
      </c>
      <c r="C16" s="216"/>
      <c r="D16" s="16">
        <f>1820*k</f>
        <v>928200</v>
      </c>
    </row>
    <row r="17" spans="1:4" ht="16.5" thickBot="1">
      <c r="A17" s="160" t="s">
        <v>6</v>
      </c>
      <c r="B17" s="161"/>
      <c r="C17" s="161"/>
      <c r="D17" s="162"/>
    </row>
    <row r="18" spans="1:4" ht="12.75">
      <c r="A18" s="21" t="s">
        <v>105</v>
      </c>
      <c r="B18" s="22" t="s">
        <v>77</v>
      </c>
      <c r="C18" s="23" t="s">
        <v>368</v>
      </c>
      <c r="D18" s="43">
        <f>87*k</f>
        <v>44370</v>
      </c>
    </row>
    <row r="19" spans="1:4" ht="12.75">
      <c r="A19" s="12" t="s">
        <v>106</v>
      </c>
      <c r="B19" s="55" t="s">
        <v>77</v>
      </c>
      <c r="C19" s="3" t="s">
        <v>369</v>
      </c>
      <c r="D19" s="16">
        <f>66*k</f>
        <v>33660</v>
      </c>
    </row>
    <row r="20" spans="1:4" ht="24.75" thickBot="1">
      <c r="A20" s="48" t="s">
        <v>7</v>
      </c>
      <c r="B20" s="104" t="s">
        <v>78</v>
      </c>
      <c r="C20" s="11" t="s">
        <v>370</v>
      </c>
      <c r="D20" s="16">
        <f>74*k</f>
        <v>37740</v>
      </c>
    </row>
    <row r="21" spans="1:8" ht="16.5" thickBot="1">
      <c r="A21" s="266" t="s">
        <v>128</v>
      </c>
      <c r="B21" s="161"/>
      <c r="C21" s="161"/>
      <c r="D21" s="162"/>
      <c r="H21" s="29"/>
    </row>
    <row r="22" spans="1:8" ht="12.75">
      <c r="A22" s="62" t="s">
        <v>303</v>
      </c>
      <c r="B22" s="242" t="s">
        <v>469</v>
      </c>
      <c r="C22" s="243"/>
      <c r="D22" s="16">
        <f>140*k</f>
        <v>71400</v>
      </c>
      <c r="H22" s="29"/>
    </row>
    <row r="23" spans="1:8" ht="12.75">
      <c r="A23" s="62" t="s">
        <v>304</v>
      </c>
      <c r="B23" s="199" t="s">
        <v>465</v>
      </c>
      <c r="C23" s="200"/>
      <c r="D23" s="16">
        <f>200*k</f>
        <v>102000</v>
      </c>
      <c r="H23" s="29"/>
    </row>
    <row r="24" spans="1:4" ht="12.75" customHeight="1">
      <c r="A24" s="62" t="s">
        <v>305</v>
      </c>
      <c r="B24" s="199" t="s">
        <v>464</v>
      </c>
      <c r="C24" s="200"/>
      <c r="D24" s="16">
        <f>220*k</f>
        <v>112200</v>
      </c>
    </row>
    <row r="25" spans="1:4" ht="12.75">
      <c r="A25" s="62" t="s">
        <v>306</v>
      </c>
      <c r="B25" s="199" t="s">
        <v>470</v>
      </c>
      <c r="C25" s="200"/>
      <c r="D25" s="16">
        <f>105*k</f>
        <v>53550</v>
      </c>
    </row>
    <row r="26" spans="1:4" ht="12.75" customHeight="1">
      <c r="A26" s="62" t="s">
        <v>307</v>
      </c>
      <c r="B26" s="199" t="s">
        <v>466</v>
      </c>
      <c r="C26" s="200"/>
      <c r="D26" s="16">
        <f>110*k</f>
        <v>56100</v>
      </c>
    </row>
    <row r="27" spans="1:4" ht="12.75">
      <c r="A27" s="62" t="s">
        <v>308</v>
      </c>
      <c r="B27" s="199" t="s">
        <v>467</v>
      </c>
      <c r="C27" s="200"/>
      <c r="D27" s="16">
        <f>150*k</f>
        <v>76500</v>
      </c>
    </row>
    <row r="28" spans="1:4" ht="12.75">
      <c r="A28" s="62" t="s">
        <v>309</v>
      </c>
      <c r="B28" s="199" t="s">
        <v>471</v>
      </c>
      <c r="C28" s="200"/>
      <c r="D28" s="16">
        <f>120*k</f>
        <v>61200</v>
      </c>
    </row>
    <row r="29" spans="1:4" ht="12.75" customHeight="1">
      <c r="A29" s="62" t="s">
        <v>310</v>
      </c>
      <c r="B29" s="199" t="s">
        <v>472</v>
      </c>
      <c r="C29" s="200"/>
      <c r="D29" s="16">
        <f>130*k</f>
        <v>66300</v>
      </c>
    </row>
    <row r="30" spans="1:4" ht="12.75">
      <c r="A30" s="62" t="s">
        <v>311</v>
      </c>
      <c r="B30" s="199" t="s">
        <v>468</v>
      </c>
      <c r="C30" s="200"/>
      <c r="D30" s="16">
        <f>160*k</f>
        <v>81600</v>
      </c>
    </row>
    <row r="31" spans="1:4" ht="12.75">
      <c r="A31" s="62" t="s">
        <v>312</v>
      </c>
      <c r="B31" s="199" t="s">
        <v>473</v>
      </c>
      <c r="C31" s="200"/>
      <c r="D31" s="16">
        <f>130*k</f>
        <v>66300</v>
      </c>
    </row>
    <row r="32" spans="1:4" ht="12.75">
      <c r="A32" s="62" t="s">
        <v>313</v>
      </c>
      <c r="B32" s="199" t="s">
        <v>474</v>
      </c>
      <c r="C32" s="200"/>
      <c r="D32" s="16">
        <f>130*k</f>
        <v>66300</v>
      </c>
    </row>
    <row r="33" spans="1:4" ht="27" customHeight="1" thickBot="1">
      <c r="A33" s="130" t="s">
        <v>314</v>
      </c>
      <c r="B33" s="244" t="s">
        <v>537</v>
      </c>
      <c r="C33" s="245" t="s">
        <v>315</v>
      </c>
      <c r="D33" s="51">
        <f>130*k</f>
        <v>66300</v>
      </c>
    </row>
    <row r="34" spans="1:4" ht="12.75" customHeight="1" thickBot="1">
      <c r="A34" s="160" t="s">
        <v>8</v>
      </c>
      <c r="B34" s="161"/>
      <c r="C34" s="161"/>
      <c r="D34" s="162"/>
    </row>
    <row r="35" spans="1:4" ht="12.75" customHeight="1">
      <c r="A35" s="57" t="s">
        <v>19</v>
      </c>
      <c r="B35" s="225" t="s">
        <v>366</v>
      </c>
      <c r="C35" s="226"/>
      <c r="D35" s="51">
        <f>72*k</f>
        <v>36720</v>
      </c>
    </row>
    <row r="36" spans="1:4" ht="12.75" customHeight="1">
      <c r="A36" s="5" t="s">
        <v>175</v>
      </c>
      <c r="B36" s="199" t="s">
        <v>367</v>
      </c>
      <c r="C36" s="200"/>
      <c r="D36" s="51">
        <f>25*k</f>
        <v>12750</v>
      </c>
    </row>
    <row r="37" spans="1:4" ht="12.75" customHeight="1">
      <c r="A37" s="4" t="s">
        <v>9</v>
      </c>
      <c r="B37" s="199" t="s">
        <v>372</v>
      </c>
      <c r="C37" s="200"/>
      <c r="D37" s="51">
        <f>35*k</f>
        <v>17850</v>
      </c>
    </row>
    <row r="38" spans="1:4" ht="12.75" customHeight="1">
      <c r="A38" s="4" t="s">
        <v>10</v>
      </c>
      <c r="B38" s="199" t="s">
        <v>373</v>
      </c>
      <c r="C38" s="200"/>
      <c r="D38" s="51">
        <f>35*k</f>
        <v>17850</v>
      </c>
    </row>
    <row r="39" spans="1:4" ht="12.75" customHeight="1">
      <c r="A39" s="4" t="s">
        <v>11</v>
      </c>
      <c r="B39" s="199" t="s">
        <v>374</v>
      </c>
      <c r="C39" s="200"/>
      <c r="D39" s="51">
        <f>35*k</f>
        <v>17850</v>
      </c>
    </row>
    <row r="40" spans="1:4" ht="12.75" customHeight="1">
      <c r="A40" s="4" t="s">
        <v>12</v>
      </c>
      <c r="B40" s="199" t="s">
        <v>375</v>
      </c>
      <c r="C40" s="200"/>
      <c r="D40" s="51">
        <f>33*k</f>
        <v>16830</v>
      </c>
    </row>
    <row r="41" spans="1:4" ht="12.75" customHeight="1">
      <c r="A41" s="4" t="s">
        <v>13</v>
      </c>
      <c r="B41" s="199" t="s">
        <v>376</v>
      </c>
      <c r="C41" s="200"/>
      <c r="D41" s="51">
        <f>70*k</f>
        <v>35700</v>
      </c>
    </row>
    <row r="42" spans="1:4" ht="12.75" customHeight="1">
      <c r="A42" s="4" t="s">
        <v>14</v>
      </c>
      <c r="B42" s="199" t="s">
        <v>377</v>
      </c>
      <c r="C42" s="200"/>
      <c r="D42" s="51">
        <f>70*k</f>
        <v>35700</v>
      </c>
    </row>
    <row r="43" spans="1:4" ht="12.75" customHeight="1">
      <c r="A43" s="4" t="s">
        <v>15</v>
      </c>
      <c r="B43" s="199" t="s">
        <v>378</v>
      </c>
      <c r="C43" s="200"/>
      <c r="D43" s="51">
        <f>50*k</f>
        <v>25500</v>
      </c>
    </row>
    <row r="44" spans="1:4" ht="12.75" customHeight="1">
      <c r="A44" s="102" t="s">
        <v>16</v>
      </c>
      <c r="B44" s="199" t="s">
        <v>394</v>
      </c>
      <c r="C44" s="200"/>
      <c r="D44" s="51">
        <f>20*k</f>
        <v>10200</v>
      </c>
    </row>
    <row r="45" spans="1:4" ht="12.75" customHeight="1">
      <c r="A45" s="4" t="s">
        <v>17</v>
      </c>
      <c r="B45" s="199" t="s">
        <v>380</v>
      </c>
      <c r="C45" s="200"/>
      <c r="D45" s="51">
        <f>43*k</f>
        <v>21930</v>
      </c>
    </row>
    <row r="46" spans="1:4" ht="12.75" customHeight="1" thickBot="1">
      <c r="A46" s="6" t="s">
        <v>18</v>
      </c>
      <c r="B46" s="219" t="s">
        <v>381</v>
      </c>
      <c r="C46" s="220"/>
      <c r="D46" s="51">
        <f>75*k</f>
        <v>38250</v>
      </c>
    </row>
    <row r="47" spans="1:4" ht="16.5" thickBot="1">
      <c r="A47" s="160" t="s">
        <v>74</v>
      </c>
      <c r="B47" s="161"/>
      <c r="C47" s="161"/>
      <c r="D47" s="162"/>
    </row>
    <row r="48" spans="1:4" ht="12.75">
      <c r="A48" s="10" t="s">
        <v>4</v>
      </c>
      <c r="B48" s="275" t="s">
        <v>223</v>
      </c>
      <c r="C48" s="222"/>
      <c r="D48" s="16">
        <f>250*k</f>
        <v>127500</v>
      </c>
    </row>
    <row r="49" spans="1:4" ht="12.75">
      <c r="A49" s="107" t="s">
        <v>5</v>
      </c>
      <c r="B49" s="217" t="s">
        <v>222</v>
      </c>
      <c r="C49" s="218"/>
      <c r="D49" s="20">
        <f>290*k</f>
        <v>147900</v>
      </c>
    </row>
    <row r="50" spans="1:4" ht="12.75">
      <c r="A50" s="12" t="s">
        <v>22</v>
      </c>
      <c r="B50" s="211" t="s">
        <v>219</v>
      </c>
      <c r="C50" s="212"/>
      <c r="D50" s="34">
        <f>250*k</f>
        <v>127500</v>
      </c>
    </row>
    <row r="51" spans="1:4" ht="12.75">
      <c r="A51" s="56" t="s">
        <v>23</v>
      </c>
      <c r="B51" s="209" t="s">
        <v>220</v>
      </c>
      <c r="C51" s="210"/>
      <c r="D51" s="51">
        <f>315*k</f>
        <v>160650</v>
      </c>
    </row>
    <row r="52" spans="1:4" ht="12.75">
      <c r="A52" s="12" t="s">
        <v>261</v>
      </c>
      <c r="B52" s="211" t="s">
        <v>221</v>
      </c>
      <c r="C52" s="212"/>
      <c r="D52" s="34">
        <f>390*k</f>
        <v>198900</v>
      </c>
    </row>
    <row r="53" spans="1:4" ht="12.75">
      <c r="A53" s="12" t="s">
        <v>262</v>
      </c>
      <c r="B53" s="199" t="s">
        <v>267</v>
      </c>
      <c r="C53" s="200"/>
      <c r="D53" s="34">
        <f>560*k</f>
        <v>285600</v>
      </c>
    </row>
    <row r="54" spans="1:4" ht="12.75">
      <c r="A54" s="12" t="s">
        <v>263</v>
      </c>
      <c r="B54" s="211" t="s">
        <v>265</v>
      </c>
      <c r="C54" s="212"/>
      <c r="D54" s="34">
        <f>200*k</f>
        <v>102000</v>
      </c>
    </row>
    <row r="55" spans="1:4" ht="12.75">
      <c r="A55" s="48" t="s">
        <v>224</v>
      </c>
      <c r="B55" s="199" t="s">
        <v>225</v>
      </c>
      <c r="C55" s="200"/>
      <c r="D55" s="34">
        <f>600*k</f>
        <v>306000</v>
      </c>
    </row>
    <row r="56" spans="1:4" ht="12.75">
      <c r="A56" s="48" t="s">
        <v>266</v>
      </c>
      <c r="B56" s="199" t="s">
        <v>268</v>
      </c>
      <c r="C56" s="200"/>
      <c r="D56" s="34">
        <f>620*k</f>
        <v>316200</v>
      </c>
    </row>
    <row r="57" spans="1:4" ht="12.75">
      <c r="A57" s="12" t="s">
        <v>269</v>
      </c>
      <c r="B57" s="211" t="s">
        <v>270</v>
      </c>
      <c r="C57" s="212"/>
      <c r="D57" s="34">
        <f>150*k</f>
        <v>76500</v>
      </c>
    </row>
    <row r="58" spans="1:4" ht="12.75">
      <c r="A58" s="48" t="s">
        <v>402</v>
      </c>
      <c r="B58" s="199" t="s">
        <v>482</v>
      </c>
      <c r="C58" s="200"/>
      <c r="D58" s="34">
        <f>1100*k</f>
        <v>561000</v>
      </c>
    </row>
    <row r="59" spans="1:4" ht="12.75">
      <c r="A59" s="48" t="s">
        <v>483</v>
      </c>
      <c r="B59" s="199" t="s">
        <v>484</v>
      </c>
      <c r="C59" s="200"/>
      <c r="D59" s="34">
        <f>1100*k</f>
        <v>561000</v>
      </c>
    </row>
    <row r="60" spans="1:4" ht="12.75">
      <c r="A60" s="48" t="s">
        <v>264</v>
      </c>
      <c r="B60" s="199" t="s">
        <v>271</v>
      </c>
      <c r="C60" s="200"/>
      <c r="D60" s="34">
        <f>620*k</f>
        <v>316200</v>
      </c>
    </row>
    <row r="61" spans="1:4" ht="13.5" thickBot="1">
      <c r="A61" s="52" t="s">
        <v>272</v>
      </c>
      <c r="B61" s="213" t="s">
        <v>273</v>
      </c>
      <c r="C61" s="214"/>
      <c r="D61" s="34">
        <f>725*k</f>
        <v>369750</v>
      </c>
    </row>
    <row r="62" spans="1:4" ht="13.5" thickBot="1">
      <c r="A62" s="52" t="s">
        <v>24</v>
      </c>
      <c r="B62" s="215" t="s">
        <v>25</v>
      </c>
      <c r="C62" s="216"/>
      <c r="D62" s="34">
        <f>55*k</f>
        <v>28050</v>
      </c>
    </row>
    <row r="63" spans="1:4" ht="28.5" customHeight="1" thickBot="1">
      <c r="A63" s="52" t="s">
        <v>404</v>
      </c>
      <c r="B63" s="199" t="s">
        <v>405</v>
      </c>
      <c r="C63" s="200"/>
      <c r="D63" s="34">
        <f>150*k</f>
        <v>76500</v>
      </c>
    </row>
    <row r="64" spans="1:4" ht="13.5" thickBot="1">
      <c r="A64" s="52" t="s">
        <v>476</v>
      </c>
      <c r="B64" s="203" t="s">
        <v>477</v>
      </c>
      <c r="C64" s="204"/>
      <c r="D64" s="34">
        <f>20*k</f>
        <v>10200</v>
      </c>
    </row>
    <row r="65" spans="1:3" ht="30.75" customHeight="1" thickBot="1">
      <c r="A65" s="205" t="s">
        <v>274</v>
      </c>
      <c r="B65" s="206"/>
      <c r="C65" s="206"/>
    </row>
    <row r="66" spans="1:4" ht="15.75">
      <c r="A66" s="266" t="s">
        <v>491</v>
      </c>
      <c r="B66" s="267"/>
      <c r="C66" s="267"/>
      <c r="D66" s="268"/>
    </row>
    <row r="67" spans="1:4" ht="27" customHeight="1">
      <c r="A67" s="55" t="s">
        <v>297</v>
      </c>
      <c r="B67" s="208" t="s">
        <v>622</v>
      </c>
      <c r="C67" s="208"/>
      <c r="D67" s="117">
        <f>115*k</f>
        <v>58650</v>
      </c>
    </row>
    <row r="68" spans="1:4" ht="12.75">
      <c r="A68" s="55" t="s">
        <v>476</v>
      </c>
      <c r="B68" s="208" t="s">
        <v>477</v>
      </c>
      <c r="C68" s="208"/>
      <c r="D68" s="117">
        <f>20*k</f>
        <v>10200</v>
      </c>
    </row>
    <row r="69" spans="1:4" ht="12.75" customHeight="1">
      <c r="A69" s="55" t="s">
        <v>485</v>
      </c>
      <c r="B69" s="208" t="s">
        <v>486</v>
      </c>
      <c r="C69" s="208"/>
      <c r="D69" s="117">
        <f>5*k</f>
        <v>2550</v>
      </c>
    </row>
    <row r="70" spans="1:4" ht="12.75">
      <c r="A70" s="54" t="s">
        <v>51</v>
      </c>
      <c r="B70" s="270" t="s">
        <v>487</v>
      </c>
      <c r="C70" s="270"/>
      <c r="D70" s="71">
        <f>_xlfn.FLOOR.PRECISE(36*k,100)</f>
        <v>18300</v>
      </c>
    </row>
    <row r="71" spans="1:4" ht="12.75">
      <c r="A71" s="54" t="s">
        <v>52</v>
      </c>
      <c r="B71" s="263" t="s">
        <v>53</v>
      </c>
      <c r="C71" s="263"/>
      <c r="D71" s="71">
        <f>44*k</f>
        <v>22440</v>
      </c>
    </row>
    <row r="72" spans="1:4" ht="12.75">
      <c r="A72" s="54" t="s">
        <v>99</v>
      </c>
      <c r="B72" s="208" t="s">
        <v>102</v>
      </c>
      <c r="C72" s="263"/>
      <c r="D72" s="71">
        <f>96*k</f>
        <v>48960</v>
      </c>
    </row>
    <row r="73" spans="1:4" ht="12.75">
      <c r="A73" s="54" t="s">
        <v>100</v>
      </c>
      <c r="B73" s="263" t="s">
        <v>103</v>
      </c>
      <c r="C73" s="263"/>
      <c r="D73" s="71">
        <f>43*k</f>
        <v>21930</v>
      </c>
    </row>
    <row r="74" spans="1:4" ht="12.75">
      <c r="A74" s="54" t="s">
        <v>101</v>
      </c>
      <c r="B74" s="208" t="s">
        <v>104</v>
      </c>
      <c r="C74" s="263"/>
      <c r="D74" s="71">
        <f>13*k</f>
        <v>6630</v>
      </c>
    </row>
    <row r="75" spans="1:4" ht="12.75">
      <c r="A75" s="55" t="s">
        <v>59</v>
      </c>
      <c r="B75" s="263" t="s">
        <v>235</v>
      </c>
      <c r="C75" s="263"/>
      <c r="D75" s="117">
        <f>35*k</f>
        <v>17850</v>
      </c>
    </row>
    <row r="76" spans="1:4" ht="12.75">
      <c r="A76" s="55" t="s">
        <v>60</v>
      </c>
      <c r="B76" s="263" t="s">
        <v>234</v>
      </c>
      <c r="C76" s="263"/>
      <c r="D76" s="117">
        <f>10*k</f>
        <v>5100</v>
      </c>
    </row>
    <row r="77" spans="1:4" ht="12.75">
      <c r="A77" s="55" t="s">
        <v>97</v>
      </c>
      <c r="B77" s="208" t="s">
        <v>98</v>
      </c>
      <c r="C77" s="208"/>
      <c r="D77" s="117">
        <f>24*k</f>
        <v>12240</v>
      </c>
    </row>
  </sheetData>
  <sheetProtection/>
  <mergeCells count="74">
    <mergeCell ref="B7:C7"/>
    <mergeCell ref="B23:C23"/>
    <mergeCell ref="A1:D1"/>
    <mergeCell ref="A2:D2"/>
    <mergeCell ref="B3:C3"/>
    <mergeCell ref="A4:D4"/>
    <mergeCell ref="B5:C5"/>
    <mergeCell ref="B6:C6"/>
    <mergeCell ref="B27:C27"/>
    <mergeCell ref="B8:C8"/>
    <mergeCell ref="A14:D14"/>
    <mergeCell ref="B16:C16"/>
    <mergeCell ref="A21:D21"/>
    <mergeCell ref="A11:D11"/>
    <mergeCell ref="B13:C13"/>
    <mergeCell ref="B9:C9"/>
    <mergeCell ref="B25:C25"/>
    <mergeCell ref="B10:C10"/>
    <mergeCell ref="B39:C39"/>
    <mergeCell ref="B24:C24"/>
    <mergeCell ref="B22:C22"/>
    <mergeCell ref="B32:C32"/>
    <mergeCell ref="B26:C26"/>
    <mergeCell ref="A17:D17"/>
    <mergeCell ref="B28:C28"/>
    <mergeCell ref="B29:C29"/>
    <mergeCell ref="B30:C30"/>
    <mergeCell ref="B31:C31"/>
    <mergeCell ref="B54:C54"/>
    <mergeCell ref="B55:C55"/>
    <mergeCell ref="B56:C56"/>
    <mergeCell ref="B33:C33"/>
    <mergeCell ref="A47:D47"/>
    <mergeCell ref="B48:C48"/>
    <mergeCell ref="B49:C49"/>
    <mergeCell ref="B50:C50"/>
    <mergeCell ref="B37:C37"/>
    <mergeCell ref="B38:C38"/>
    <mergeCell ref="B44:C44"/>
    <mergeCell ref="B45:C45"/>
    <mergeCell ref="A34:D34"/>
    <mergeCell ref="B35:C35"/>
    <mergeCell ref="B36:C36"/>
    <mergeCell ref="B64:C64"/>
    <mergeCell ref="B57:C57"/>
    <mergeCell ref="B60:C60"/>
    <mergeCell ref="B61:C61"/>
    <mergeCell ref="B62:C62"/>
    <mergeCell ref="B75:C75"/>
    <mergeCell ref="B76:C76"/>
    <mergeCell ref="B77:C77"/>
    <mergeCell ref="B67:C67"/>
    <mergeCell ref="B68:C68"/>
    <mergeCell ref="B46:C46"/>
    <mergeCell ref="B63:C63"/>
    <mergeCell ref="B51:C51"/>
    <mergeCell ref="B52:C52"/>
    <mergeCell ref="B53:C53"/>
    <mergeCell ref="B69:C69"/>
    <mergeCell ref="B70:C70"/>
    <mergeCell ref="B71:C71"/>
    <mergeCell ref="B72:C72"/>
    <mergeCell ref="B73:C73"/>
    <mergeCell ref="B74:C74"/>
    <mergeCell ref="A65:C65"/>
    <mergeCell ref="B12:C12"/>
    <mergeCell ref="B15:C15"/>
    <mergeCell ref="B58:C58"/>
    <mergeCell ref="B59:C59"/>
    <mergeCell ref="A66:D66"/>
    <mergeCell ref="B40:C40"/>
    <mergeCell ref="B41:C41"/>
    <mergeCell ref="B42:C42"/>
    <mergeCell ref="B43:C43"/>
  </mergeCells>
  <hyperlinks>
    <hyperlink ref="A2:D2" location="Оглавление!R1C1" display="Вернуться в Оглавление"/>
  </hyperlinks>
  <printOptions/>
  <pageMargins left="0.75" right="0.75" top="1" bottom="1" header="0.5" footer="0.5"/>
  <pageSetup horizontalDpi="600" verticalDpi="600" orientation="portrait" paperSize="9" scale="59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5"/>
  <sheetViews>
    <sheetView zoomScalePageLayoutView="0" workbookViewId="0" topLeftCell="A1">
      <selection activeCell="H16" sqref="H16"/>
    </sheetView>
  </sheetViews>
  <sheetFormatPr defaultColWidth="8.875" defaultRowHeight="12.75"/>
  <cols>
    <col min="1" max="1" width="27.875" style="0" customWidth="1"/>
    <col min="2" max="2" width="77.00390625" style="0" customWidth="1"/>
    <col min="3" max="3" width="8.875" style="0" customWidth="1"/>
    <col min="4" max="4" width="22.75390625" style="0" customWidth="1"/>
    <col min="5" max="5" width="19.375" style="0" customWidth="1"/>
  </cols>
  <sheetData>
    <row r="1" spans="1:5" ht="29.25" customHeight="1" thickBot="1">
      <c r="A1" s="155" t="s">
        <v>151</v>
      </c>
      <c r="B1" s="155"/>
      <c r="C1" s="155"/>
      <c r="D1" s="155"/>
      <c r="E1" s="139"/>
    </row>
    <row r="2" spans="1:5" ht="29.25" customHeight="1" thickBot="1">
      <c r="A2" s="133" t="s">
        <v>0</v>
      </c>
      <c r="B2" s="156" t="s">
        <v>1</v>
      </c>
      <c r="C2" s="157"/>
      <c r="D2" s="134" t="s">
        <v>75</v>
      </c>
      <c r="E2" s="140" t="s">
        <v>680</v>
      </c>
    </row>
    <row r="3" spans="1:5" ht="16.5" thickBot="1">
      <c r="A3" s="160" t="s">
        <v>679</v>
      </c>
      <c r="B3" s="161"/>
      <c r="C3" s="161"/>
      <c r="D3" s="161"/>
      <c r="E3" s="162"/>
    </row>
    <row r="4" spans="1:5" ht="12.75" customHeight="1">
      <c r="A4" s="143" t="s">
        <v>5</v>
      </c>
      <c r="B4" s="158" t="s">
        <v>222</v>
      </c>
      <c r="C4" s="158"/>
      <c r="D4" s="144">
        <f>290*k</f>
        <v>147900</v>
      </c>
      <c r="E4" s="145">
        <f>203*k</f>
        <v>103530</v>
      </c>
    </row>
    <row r="5" spans="1:5" ht="12.75">
      <c r="A5" s="54" t="s">
        <v>404</v>
      </c>
      <c r="B5" s="159" t="s">
        <v>694</v>
      </c>
      <c r="C5" s="159"/>
      <c r="D5" s="141">
        <f>150*k</f>
        <v>76500</v>
      </c>
      <c r="E5" s="142">
        <f>105*k</f>
        <v>53550</v>
      </c>
    </row>
  </sheetData>
  <sheetProtection/>
  <mergeCells count="5">
    <mergeCell ref="A1:D1"/>
    <mergeCell ref="B2:C2"/>
    <mergeCell ref="B4:C4"/>
    <mergeCell ref="B5:C5"/>
    <mergeCell ref="A3:E3"/>
  </mergeCells>
  <hyperlinks>
    <hyperlink ref="A1:D1" location="Оглавление!R1C1" display="Вернуться в Оглавление"/>
  </hyperlink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O61"/>
  <sheetViews>
    <sheetView zoomScaleSheetLayoutView="85" zoomScalePageLayoutView="0" workbookViewId="0" topLeftCell="A1">
      <selection activeCell="T28" sqref="T28"/>
    </sheetView>
  </sheetViews>
  <sheetFormatPr defaultColWidth="8.875" defaultRowHeight="12.75"/>
  <cols>
    <col min="1" max="3" width="8.875" style="0" customWidth="1"/>
    <col min="4" max="4" width="29.75390625" style="0" customWidth="1"/>
    <col min="5" max="5" width="10.25390625" style="0" customWidth="1"/>
    <col min="6" max="6" width="7.375" style="0" customWidth="1"/>
    <col min="7" max="7" width="7.75390625" style="0" bestFit="1" customWidth="1"/>
    <col min="8" max="8" width="8.375" style="0" bestFit="1" customWidth="1"/>
    <col min="9" max="9" width="8.875" style="0" customWidth="1"/>
    <col min="10" max="12" width="10.125" style="0" bestFit="1" customWidth="1"/>
    <col min="13" max="13" width="11.25390625" style="0" bestFit="1" customWidth="1"/>
  </cols>
  <sheetData>
    <row r="10" spans="1:14" ht="11.25" customHeight="1">
      <c r="A10" s="183" t="s">
        <v>524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35"/>
    </row>
    <row r="11" spans="1:15" ht="15" customHeight="1">
      <c r="A11" s="183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35"/>
      <c r="O11" s="35"/>
    </row>
    <row r="12" spans="1:15" ht="19.5" customHeight="1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35"/>
      <c r="O12" s="35"/>
    </row>
    <row r="13" spans="1:15" ht="14.25">
      <c r="A13" s="184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35"/>
      <c r="O13" s="35"/>
    </row>
    <row r="14" spans="1:15" ht="12.75" customHeight="1">
      <c r="A14" s="185"/>
      <c r="B14" s="186"/>
      <c r="C14" s="186"/>
      <c r="D14" s="187"/>
      <c r="E14" s="189" t="s">
        <v>256</v>
      </c>
      <c r="F14" s="190"/>
      <c r="G14" s="190"/>
      <c r="H14" s="190"/>
      <c r="I14" s="190"/>
      <c r="J14" s="190"/>
      <c r="K14" s="190"/>
      <c r="L14" s="190"/>
      <c r="M14" s="191"/>
      <c r="N14" s="35"/>
      <c r="O14" s="35"/>
    </row>
    <row r="15" spans="1:13" ht="15" customHeight="1">
      <c r="A15" s="188" t="s">
        <v>155</v>
      </c>
      <c r="B15" s="188"/>
      <c r="C15" s="188"/>
      <c r="D15" s="188"/>
      <c r="E15" s="165" t="s">
        <v>252</v>
      </c>
      <c r="F15" s="165" t="s">
        <v>251</v>
      </c>
      <c r="G15" s="165" t="s">
        <v>253</v>
      </c>
      <c r="H15" s="163" t="s">
        <v>156</v>
      </c>
      <c r="I15" s="163" t="s">
        <v>157</v>
      </c>
      <c r="J15" s="163" t="s">
        <v>158</v>
      </c>
      <c r="K15" s="163" t="s">
        <v>159</v>
      </c>
      <c r="L15" s="173" t="s">
        <v>160</v>
      </c>
      <c r="M15" s="173" t="s">
        <v>161</v>
      </c>
    </row>
    <row r="16" spans="1:13" ht="27.75" customHeight="1">
      <c r="A16" s="188"/>
      <c r="B16" s="188"/>
      <c r="C16" s="188"/>
      <c r="D16" s="188"/>
      <c r="E16" s="166"/>
      <c r="F16" s="166"/>
      <c r="G16" s="166"/>
      <c r="H16" s="163"/>
      <c r="I16" s="163"/>
      <c r="J16" s="163"/>
      <c r="K16" s="163"/>
      <c r="L16" s="173"/>
      <c r="M16" s="173"/>
    </row>
    <row r="17" spans="1:13" ht="14.25">
      <c r="A17" s="170" t="s">
        <v>644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2"/>
    </row>
    <row r="18" spans="1:13" ht="14.25">
      <c r="A18" s="167" t="s">
        <v>641</v>
      </c>
      <c r="B18" s="168"/>
      <c r="C18" s="168"/>
      <c r="D18" s="169"/>
      <c r="E18" s="59">
        <v>300</v>
      </c>
      <c r="F18" s="59">
        <v>290</v>
      </c>
      <c r="G18" s="59">
        <v>250</v>
      </c>
      <c r="H18" s="59">
        <v>200</v>
      </c>
      <c r="I18" s="59">
        <v>180</v>
      </c>
      <c r="J18" s="59">
        <v>170</v>
      </c>
      <c r="K18" s="59">
        <v>165</v>
      </c>
      <c r="L18" s="59">
        <v>160</v>
      </c>
      <c r="M18" s="59" t="s">
        <v>176</v>
      </c>
    </row>
    <row r="19" spans="1:13" ht="14.25">
      <c r="A19" s="167" t="s">
        <v>640</v>
      </c>
      <c r="B19" s="168"/>
      <c r="C19" s="168"/>
      <c r="D19" s="169"/>
      <c r="E19" s="59">
        <v>200</v>
      </c>
      <c r="F19" s="59">
        <v>190</v>
      </c>
      <c r="G19" s="59">
        <v>165</v>
      </c>
      <c r="H19" s="59">
        <v>135</v>
      </c>
      <c r="I19" s="59">
        <v>125</v>
      </c>
      <c r="J19" s="59">
        <v>120</v>
      </c>
      <c r="K19" s="59">
        <v>115</v>
      </c>
      <c r="L19" s="59">
        <v>105</v>
      </c>
      <c r="M19" s="59" t="s">
        <v>176</v>
      </c>
    </row>
    <row r="20" spans="1:13" ht="14.25">
      <c r="A20" s="167" t="s">
        <v>642</v>
      </c>
      <c r="B20" s="168"/>
      <c r="C20" s="168"/>
      <c r="D20" s="169"/>
      <c r="E20" s="59">
        <v>200</v>
      </c>
      <c r="F20" s="59">
        <v>190</v>
      </c>
      <c r="G20" s="59">
        <v>165</v>
      </c>
      <c r="H20" s="59">
        <v>135</v>
      </c>
      <c r="I20" s="59">
        <v>125</v>
      </c>
      <c r="J20" s="59">
        <v>120</v>
      </c>
      <c r="K20" s="59">
        <v>115</v>
      </c>
      <c r="L20" s="59">
        <v>105</v>
      </c>
      <c r="M20" s="59" t="s">
        <v>176</v>
      </c>
    </row>
    <row r="21" spans="1:13" s="46" customFormat="1" ht="14.25">
      <c r="A21" s="164" t="s">
        <v>649</v>
      </c>
      <c r="B21" s="164"/>
      <c r="C21" s="164"/>
      <c r="D21" s="164"/>
      <c r="E21" s="59">
        <v>200</v>
      </c>
      <c r="F21" s="59">
        <v>190</v>
      </c>
      <c r="G21" s="59">
        <v>165</v>
      </c>
      <c r="H21" s="59">
        <v>135</v>
      </c>
      <c r="I21" s="59">
        <v>125</v>
      </c>
      <c r="J21" s="59">
        <v>120</v>
      </c>
      <c r="K21" s="59">
        <v>115</v>
      </c>
      <c r="L21" s="59">
        <v>105</v>
      </c>
      <c r="M21" s="59" t="s">
        <v>176</v>
      </c>
    </row>
    <row r="22" spans="1:13" s="46" customFormat="1" ht="14.25">
      <c r="A22" s="164" t="s">
        <v>648</v>
      </c>
      <c r="B22" s="164"/>
      <c r="C22" s="164"/>
      <c r="D22" s="164"/>
      <c r="E22" s="59">
        <v>200</v>
      </c>
      <c r="F22" s="59">
        <v>190</v>
      </c>
      <c r="G22" s="59">
        <v>165</v>
      </c>
      <c r="H22" s="59">
        <v>135</v>
      </c>
      <c r="I22" s="59">
        <v>125</v>
      </c>
      <c r="J22" s="59">
        <v>120</v>
      </c>
      <c r="K22" s="59">
        <v>115</v>
      </c>
      <c r="L22" s="59">
        <v>105</v>
      </c>
      <c r="M22" s="59" t="s">
        <v>176</v>
      </c>
    </row>
    <row r="23" spans="1:13" s="46" customFormat="1" ht="14.25">
      <c r="A23" s="164" t="s">
        <v>647</v>
      </c>
      <c r="B23" s="164"/>
      <c r="C23" s="164"/>
      <c r="D23" s="164"/>
      <c r="E23" s="59">
        <v>300</v>
      </c>
      <c r="F23" s="59">
        <v>290</v>
      </c>
      <c r="G23" s="59">
        <v>250</v>
      </c>
      <c r="H23" s="59">
        <v>200</v>
      </c>
      <c r="I23" s="59">
        <v>180</v>
      </c>
      <c r="J23" s="59">
        <v>170</v>
      </c>
      <c r="K23" s="59">
        <v>165</v>
      </c>
      <c r="L23" s="59">
        <v>160</v>
      </c>
      <c r="M23" s="59" t="s">
        <v>176</v>
      </c>
    </row>
    <row r="24" spans="1:13" s="46" customFormat="1" ht="14.25">
      <c r="A24" s="167" t="s">
        <v>646</v>
      </c>
      <c r="B24" s="168"/>
      <c r="C24" s="168"/>
      <c r="D24" s="169"/>
      <c r="E24" s="59">
        <v>200</v>
      </c>
      <c r="F24" s="59">
        <v>190</v>
      </c>
      <c r="G24" s="59">
        <v>165</v>
      </c>
      <c r="H24" s="59">
        <v>135</v>
      </c>
      <c r="I24" s="59">
        <v>125</v>
      </c>
      <c r="J24" s="59">
        <v>120</v>
      </c>
      <c r="K24" s="59">
        <v>115</v>
      </c>
      <c r="L24" s="59">
        <v>105</v>
      </c>
      <c r="M24" s="59" t="s">
        <v>176</v>
      </c>
    </row>
    <row r="25" spans="1:13" s="46" customFormat="1" ht="14.25">
      <c r="A25" s="167" t="s">
        <v>645</v>
      </c>
      <c r="B25" s="168"/>
      <c r="C25" s="168"/>
      <c r="D25" s="169"/>
      <c r="E25" s="59">
        <v>800</v>
      </c>
      <c r="F25" s="59">
        <v>600</v>
      </c>
      <c r="G25" s="59">
        <v>550</v>
      </c>
      <c r="H25" s="59">
        <v>500</v>
      </c>
      <c r="I25" s="59">
        <v>450</v>
      </c>
      <c r="J25" s="59">
        <v>400</v>
      </c>
      <c r="K25" s="59" t="s">
        <v>176</v>
      </c>
      <c r="L25" s="59" t="s">
        <v>176</v>
      </c>
      <c r="M25" s="59" t="s">
        <v>176</v>
      </c>
    </row>
    <row r="26" spans="1:13" s="46" customFormat="1" ht="14.25">
      <c r="A26" s="167" t="s">
        <v>518</v>
      </c>
      <c r="B26" s="168"/>
      <c r="C26" s="168"/>
      <c r="D26" s="169"/>
      <c r="E26" s="59">
        <v>200</v>
      </c>
      <c r="F26" s="59">
        <v>180</v>
      </c>
      <c r="G26" s="59">
        <v>150</v>
      </c>
      <c r="H26" s="59">
        <v>140</v>
      </c>
      <c r="I26" s="59">
        <v>130</v>
      </c>
      <c r="J26" s="59">
        <v>120</v>
      </c>
      <c r="K26" s="59">
        <v>110</v>
      </c>
      <c r="L26" s="59">
        <v>90</v>
      </c>
      <c r="M26" s="59" t="s">
        <v>176</v>
      </c>
    </row>
    <row r="27" spans="1:13" s="46" customFormat="1" ht="14.25">
      <c r="A27" s="167" t="s">
        <v>451</v>
      </c>
      <c r="B27" s="168"/>
      <c r="C27" s="168"/>
      <c r="D27" s="169"/>
      <c r="E27" s="59">
        <v>500</v>
      </c>
      <c r="F27" s="59">
        <v>490</v>
      </c>
      <c r="G27" s="59">
        <v>450</v>
      </c>
      <c r="H27" s="59" t="s">
        <v>176</v>
      </c>
      <c r="I27" s="59" t="s">
        <v>176</v>
      </c>
      <c r="J27" s="59" t="s">
        <v>176</v>
      </c>
      <c r="K27" s="59" t="s">
        <v>176</v>
      </c>
      <c r="L27" s="59" t="s">
        <v>176</v>
      </c>
      <c r="M27" s="59" t="s">
        <v>176</v>
      </c>
    </row>
    <row r="28" spans="1:13" s="46" customFormat="1" ht="14.25">
      <c r="A28" s="167" t="s">
        <v>650</v>
      </c>
      <c r="B28" s="168"/>
      <c r="C28" s="168"/>
      <c r="D28" s="169"/>
      <c r="E28" s="59" t="s">
        <v>652</v>
      </c>
      <c r="F28" s="59" t="s">
        <v>652</v>
      </c>
      <c r="G28" s="59">
        <v>350</v>
      </c>
      <c r="H28" s="59">
        <v>300</v>
      </c>
      <c r="I28" s="59">
        <v>250</v>
      </c>
      <c r="J28" s="59" t="s">
        <v>176</v>
      </c>
      <c r="K28" s="59" t="s">
        <v>176</v>
      </c>
      <c r="L28" s="59" t="s">
        <v>176</v>
      </c>
      <c r="M28" s="59" t="s">
        <v>176</v>
      </c>
    </row>
    <row r="29" spans="1:13" s="46" customFormat="1" ht="14.25">
      <c r="A29" s="167" t="s">
        <v>651</v>
      </c>
      <c r="B29" s="168"/>
      <c r="C29" s="168"/>
      <c r="D29" s="169"/>
      <c r="E29" s="59" t="s">
        <v>652</v>
      </c>
      <c r="F29" s="59" t="s">
        <v>652</v>
      </c>
      <c r="G29" s="59">
        <v>200</v>
      </c>
      <c r="H29" s="59">
        <v>180</v>
      </c>
      <c r="I29" s="59">
        <v>160</v>
      </c>
      <c r="J29" s="59">
        <v>100</v>
      </c>
      <c r="K29" s="59">
        <v>95</v>
      </c>
      <c r="L29" s="59">
        <v>90</v>
      </c>
      <c r="M29" s="59" t="s">
        <v>176</v>
      </c>
    </row>
    <row r="30" spans="1:13" ht="14.25">
      <c r="A30" s="170" t="s">
        <v>643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2"/>
    </row>
    <row r="31" spans="1:13" ht="14.25">
      <c r="A31" s="167" t="s">
        <v>692</v>
      </c>
      <c r="B31" s="168"/>
      <c r="C31" s="168"/>
      <c r="D31" s="169"/>
      <c r="E31" s="59">
        <v>1000</v>
      </c>
      <c r="F31" s="59">
        <v>800</v>
      </c>
      <c r="G31" s="59">
        <v>700</v>
      </c>
      <c r="H31" s="59">
        <v>600</v>
      </c>
      <c r="I31" s="59">
        <v>500</v>
      </c>
      <c r="J31" s="59">
        <v>450</v>
      </c>
      <c r="K31" s="59" t="s">
        <v>176</v>
      </c>
      <c r="L31" s="59" t="s">
        <v>176</v>
      </c>
      <c r="M31" s="59" t="s">
        <v>176</v>
      </c>
    </row>
    <row r="32" spans="1:13" ht="14.25">
      <c r="A32" s="167" t="s">
        <v>691</v>
      </c>
      <c r="B32" s="168"/>
      <c r="C32" s="168"/>
      <c r="D32" s="169"/>
      <c r="E32" s="59">
        <v>1000</v>
      </c>
      <c r="F32" s="59">
        <v>800</v>
      </c>
      <c r="G32" s="59">
        <v>700</v>
      </c>
      <c r="H32" s="59">
        <v>600</v>
      </c>
      <c r="I32" s="59">
        <v>500</v>
      </c>
      <c r="J32" s="59">
        <v>450</v>
      </c>
      <c r="K32" s="59" t="s">
        <v>176</v>
      </c>
      <c r="L32" s="59" t="s">
        <v>176</v>
      </c>
      <c r="M32" s="59" t="s">
        <v>176</v>
      </c>
    </row>
    <row r="33" spans="1:13" ht="13.5" customHeight="1">
      <c r="A33" s="167" t="s">
        <v>693</v>
      </c>
      <c r="B33" s="168"/>
      <c r="C33" s="168"/>
      <c r="D33" s="169"/>
      <c r="E33" s="59">
        <v>1000</v>
      </c>
      <c r="F33" s="59">
        <v>800</v>
      </c>
      <c r="G33" s="59">
        <v>700</v>
      </c>
      <c r="H33" s="59">
        <v>600</v>
      </c>
      <c r="I33" s="59">
        <v>500</v>
      </c>
      <c r="J33" s="59">
        <v>450</v>
      </c>
      <c r="K33" s="59" t="s">
        <v>176</v>
      </c>
      <c r="L33" s="59" t="s">
        <v>176</v>
      </c>
      <c r="M33" s="59" t="s">
        <v>176</v>
      </c>
    </row>
    <row r="34" spans="1:13" ht="14.25">
      <c r="A34" s="170" t="s">
        <v>519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2"/>
    </row>
    <row r="35" spans="1:13" ht="30.75" customHeight="1">
      <c r="A35" s="174" t="s">
        <v>520</v>
      </c>
      <c r="B35" s="175"/>
      <c r="C35" s="175"/>
      <c r="D35" s="176"/>
      <c r="E35" s="36">
        <v>100</v>
      </c>
      <c r="F35" s="36">
        <v>90</v>
      </c>
      <c r="G35" s="36">
        <v>75</v>
      </c>
      <c r="H35" s="36">
        <v>70</v>
      </c>
      <c r="I35" s="36">
        <v>68</v>
      </c>
      <c r="J35" s="36">
        <v>60</v>
      </c>
      <c r="K35" s="36" t="s">
        <v>176</v>
      </c>
      <c r="L35" s="36" t="s">
        <v>176</v>
      </c>
      <c r="M35" s="36" t="s">
        <v>176</v>
      </c>
    </row>
    <row r="36" spans="1:13" ht="30.75" customHeight="1">
      <c r="A36" s="174" t="s">
        <v>521</v>
      </c>
      <c r="B36" s="175"/>
      <c r="C36" s="175"/>
      <c r="D36" s="176"/>
      <c r="E36" s="36">
        <v>120</v>
      </c>
      <c r="F36" s="36">
        <v>110</v>
      </c>
      <c r="G36" s="36">
        <v>100</v>
      </c>
      <c r="H36" s="36">
        <v>95</v>
      </c>
      <c r="I36" s="36">
        <v>90</v>
      </c>
      <c r="J36" s="36">
        <v>85</v>
      </c>
      <c r="K36" s="36" t="s">
        <v>176</v>
      </c>
      <c r="L36" s="36" t="s">
        <v>176</v>
      </c>
      <c r="M36" s="36" t="s">
        <v>176</v>
      </c>
    </row>
    <row r="37" spans="1:13" ht="30.75" customHeight="1">
      <c r="A37" s="174" t="s">
        <v>522</v>
      </c>
      <c r="B37" s="175"/>
      <c r="C37" s="175"/>
      <c r="D37" s="176"/>
      <c r="E37" s="36">
        <v>200</v>
      </c>
      <c r="F37" s="36">
        <v>150</v>
      </c>
      <c r="G37" s="36">
        <v>140</v>
      </c>
      <c r="H37" s="36">
        <v>130</v>
      </c>
      <c r="I37" s="36">
        <v>120</v>
      </c>
      <c r="J37" s="36">
        <v>115</v>
      </c>
      <c r="K37" s="36" t="s">
        <v>176</v>
      </c>
      <c r="L37" s="36" t="s">
        <v>176</v>
      </c>
      <c r="M37" s="36" t="s">
        <v>176</v>
      </c>
    </row>
    <row r="38" spans="1:13" ht="30.75" customHeight="1">
      <c r="A38" s="174" t="s">
        <v>523</v>
      </c>
      <c r="B38" s="175"/>
      <c r="C38" s="175"/>
      <c r="D38" s="176"/>
      <c r="E38" s="36">
        <v>150</v>
      </c>
      <c r="F38" s="36">
        <v>120</v>
      </c>
      <c r="G38" s="36">
        <v>110</v>
      </c>
      <c r="H38" s="36">
        <v>100</v>
      </c>
      <c r="I38" s="36">
        <v>90</v>
      </c>
      <c r="J38" s="36">
        <v>85</v>
      </c>
      <c r="K38" s="36" t="s">
        <v>176</v>
      </c>
      <c r="L38" s="36" t="s">
        <v>176</v>
      </c>
      <c r="M38" s="36" t="s">
        <v>176</v>
      </c>
    </row>
    <row r="39" spans="1:13" ht="33.75" customHeight="1">
      <c r="A39" s="174" t="s">
        <v>177</v>
      </c>
      <c r="B39" s="175"/>
      <c r="C39" s="175"/>
      <c r="D39" s="176"/>
      <c r="E39" s="177"/>
      <c r="F39" s="177"/>
      <c r="G39" s="177"/>
      <c r="H39" s="36">
        <v>220</v>
      </c>
      <c r="I39" s="36">
        <v>220</v>
      </c>
      <c r="J39" s="36">
        <v>220</v>
      </c>
      <c r="K39" s="36" t="s">
        <v>176</v>
      </c>
      <c r="L39" s="36" t="s">
        <v>176</v>
      </c>
      <c r="M39" s="36" t="s">
        <v>176</v>
      </c>
    </row>
    <row r="40" spans="1:13" ht="14.25">
      <c r="A40" s="170" t="s">
        <v>250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</row>
    <row r="41" spans="1:13" ht="14.25">
      <c r="A41" s="174" t="s">
        <v>409</v>
      </c>
      <c r="B41" s="175"/>
      <c r="C41" s="175"/>
      <c r="D41" s="176"/>
      <c r="E41" s="36" t="s">
        <v>176</v>
      </c>
      <c r="F41" s="36" t="s">
        <v>176</v>
      </c>
      <c r="G41" s="36" t="s">
        <v>176</v>
      </c>
      <c r="H41" s="36" t="s">
        <v>176</v>
      </c>
      <c r="I41" s="36" t="s">
        <v>176</v>
      </c>
      <c r="J41" s="36" t="s">
        <v>176</v>
      </c>
      <c r="K41" s="36" t="s">
        <v>176</v>
      </c>
      <c r="L41" s="36" t="s">
        <v>176</v>
      </c>
      <c r="M41" s="36" t="s">
        <v>176</v>
      </c>
    </row>
    <row r="42" spans="1:13" s="46" customFormat="1" ht="28.5" customHeight="1">
      <c r="A42" s="167" t="s">
        <v>257</v>
      </c>
      <c r="B42" s="168"/>
      <c r="C42" s="168"/>
      <c r="D42" s="169"/>
      <c r="E42" s="192"/>
      <c r="F42" s="193"/>
      <c r="G42" s="194"/>
      <c r="H42" s="59" t="s">
        <v>176</v>
      </c>
      <c r="I42" s="59" t="s">
        <v>176</v>
      </c>
      <c r="J42" s="59" t="s">
        <v>176</v>
      </c>
      <c r="K42" s="59" t="s">
        <v>176</v>
      </c>
      <c r="L42" s="59" t="s">
        <v>176</v>
      </c>
      <c r="M42" s="59" t="s">
        <v>176</v>
      </c>
    </row>
    <row r="43" spans="1:13" s="46" customFormat="1" ht="28.5" customHeight="1">
      <c r="A43" s="167" t="s">
        <v>407</v>
      </c>
      <c r="B43" s="168"/>
      <c r="C43" s="168"/>
      <c r="D43" s="169"/>
      <c r="E43" s="59" t="s">
        <v>176</v>
      </c>
      <c r="F43" s="59" t="s">
        <v>176</v>
      </c>
      <c r="G43" s="59" t="s">
        <v>176</v>
      </c>
      <c r="H43" s="59" t="s">
        <v>176</v>
      </c>
      <c r="I43" s="59" t="s">
        <v>176</v>
      </c>
      <c r="J43" s="59" t="s">
        <v>176</v>
      </c>
      <c r="K43" s="59" t="s">
        <v>176</v>
      </c>
      <c r="L43" s="59" t="s">
        <v>176</v>
      </c>
      <c r="M43" s="59" t="s">
        <v>176</v>
      </c>
    </row>
    <row r="44" spans="1:13" s="46" customFormat="1" ht="42.75" customHeight="1">
      <c r="A44" s="167" t="s">
        <v>408</v>
      </c>
      <c r="B44" s="168"/>
      <c r="C44" s="168"/>
      <c r="D44" s="169"/>
      <c r="E44" s="59" t="s">
        <v>176</v>
      </c>
      <c r="F44" s="59" t="s">
        <v>176</v>
      </c>
      <c r="G44" s="59" t="s">
        <v>176</v>
      </c>
      <c r="H44" s="59" t="s">
        <v>176</v>
      </c>
      <c r="I44" s="59" t="s">
        <v>176</v>
      </c>
      <c r="J44" s="59" t="s">
        <v>176</v>
      </c>
      <c r="K44" s="59" t="s">
        <v>176</v>
      </c>
      <c r="L44" s="59" t="s">
        <v>176</v>
      </c>
      <c r="M44" s="59" t="s">
        <v>176</v>
      </c>
    </row>
    <row r="45" spans="1:13" s="46" customFormat="1" ht="28.5" customHeight="1">
      <c r="A45" s="167" t="s">
        <v>365</v>
      </c>
      <c r="B45" s="168"/>
      <c r="C45" s="168"/>
      <c r="D45" s="169"/>
      <c r="E45" s="59" t="s">
        <v>176</v>
      </c>
      <c r="F45" s="59" t="s">
        <v>176</v>
      </c>
      <c r="G45" s="59" t="s">
        <v>176</v>
      </c>
      <c r="H45" s="59" t="s">
        <v>176</v>
      </c>
      <c r="I45" s="59" t="s">
        <v>176</v>
      </c>
      <c r="J45" s="59" t="s">
        <v>176</v>
      </c>
      <c r="K45" s="59" t="s">
        <v>176</v>
      </c>
      <c r="L45" s="59" t="s">
        <v>176</v>
      </c>
      <c r="M45" s="59" t="s">
        <v>176</v>
      </c>
    </row>
    <row r="46" spans="1:13" ht="58.5" customHeight="1">
      <c r="A46" s="174" t="s">
        <v>258</v>
      </c>
      <c r="B46" s="175"/>
      <c r="C46" s="175"/>
      <c r="D46" s="176"/>
      <c r="E46" s="178"/>
      <c r="F46" s="179"/>
      <c r="G46" s="180"/>
      <c r="H46" s="59" t="s">
        <v>176</v>
      </c>
      <c r="I46" s="59" t="s">
        <v>176</v>
      </c>
      <c r="J46" s="59" t="s">
        <v>176</v>
      </c>
      <c r="K46" s="59" t="s">
        <v>176</v>
      </c>
      <c r="L46" s="59" t="s">
        <v>176</v>
      </c>
      <c r="M46" s="59" t="s">
        <v>176</v>
      </c>
    </row>
    <row r="47" spans="1:13" ht="14.25">
      <c r="A47" s="170" t="s">
        <v>168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</row>
    <row r="48" spans="1:13" ht="14.25">
      <c r="A48" s="174" t="s">
        <v>170</v>
      </c>
      <c r="B48" s="175"/>
      <c r="C48" s="175"/>
      <c r="D48" s="176"/>
      <c r="E48" s="178">
        <v>300</v>
      </c>
      <c r="F48" s="179"/>
      <c r="G48" s="179"/>
      <c r="H48" s="180"/>
      <c r="I48" s="37">
        <v>250</v>
      </c>
      <c r="J48" s="37">
        <v>200</v>
      </c>
      <c r="K48" s="36" t="s">
        <v>176</v>
      </c>
      <c r="L48" s="36" t="s">
        <v>176</v>
      </c>
      <c r="M48" s="36" t="s">
        <v>176</v>
      </c>
    </row>
    <row r="49" spans="1:13" ht="14.25">
      <c r="A49" s="174" t="s">
        <v>169</v>
      </c>
      <c r="B49" s="175"/>
      <c r="C49" s="175"/>
      <c r="D49" s="176"/>
      <c r="E49" s="178">
        <v>100</v>
      </c>
      <c r="F49" s="179"/>
      <c r="G49" s="179"/>
      <c r="H49" s="180"/>
      <c r="I49" s="37">
        <v>60</v>
      </c>
      <c r="J49" s="37">
        <v>50</v>
      </c>
      <c r="K49" s="36" t="s">
        <v>176</v>
      </c>
      <c r="L49" s="36" t="s">
        <v>176</v>
      </c>
      <c r="M49" s="36" t="s">
        <v>176</v>
      </c>
    </row>
    <row r="50" spans="1:13" ht="14.25">
      <c r="A50" s="174" t="s">
        <v>171</v>
      </c>
      <c r="B50" s="175"/>
      <c r="C50" s="175"/>
      <c r="D50" s="176"/>
      <c r="E50" s="178">
        <v>100</v>
      </c>
      <c r="F50" s="179"/>
      <c r="G50" s="179"/>
      <c r="H50" s="180"/>
      <c r="I50" s="37">
        <v>40</v>
      </c>
      <c r="J50" s="37">
        <v>35</v>
      </c>
      <c r="K50" s="36" t="s">
        <v>176</v>
      </c>
      <c r="L50" s="36" t="s">
        <v>176</v>
      </c>
      <c r="M50" s="36" t="s">
        <v>176</v>
      </c>
    </row>
    <row r="51" spans="1:13" ht="14.25">
      <c r="A51" s="174" t="s">
        <v>172</v>
      </c>
      <c r="B51" s="175"/>
      <c r="C51" s="175"/>
      <c r="D51" s="176"/>
      <c r="E51" s="178">
        <v>100</v>
      </c>
      <c r="F51" s="179"/>
      <c r="G51" s="179"/>
      <c r="H51" s="180"/>
      <c r="I51" s="37">
        <v>80</v>
      </c>
      <c r="J51" s="37">
        <v>70</v>
      </c>
      <c r="K51" s="36" t="s">
        <v>176</v>
      </c>
      <c r="L51" s="36" t="s">
        <v>176</v>
      </c>
      <c r="M51" s="36" t="s">
        <v>176</v>
      </c>
    </row>
    <row r="52" spans="1:13" ht="14.25">
      <c r="A52" s="174" t="s">
        <v>173</v>
      </c>
      <c r="B52" s="175"/>
      <c r="C52" s="175"/>
      <c r="D52" s="176"/>
      <c r="E52" s="178">
        <v>500</v>
      </c>
      <c r="F52" s="179"/>
      <c r="G52" s="179"/>
      <c r="H52" s="180"/>
      <c r="I52" s="37">
        <v>450</v>
      </c>
      <c r="J52" s="37">
        <v>400</v>
      </c>
      <c r="K52" s="36" t="s">
        <v>176</v>
      </c>
      <c r="L52" s="36" t="s">
        <v>176</v>
      </c>
      <c r="M52" s="36" t="s">
        <v>176</v>
      </c>
    </row>
    <row r="53" spans="1:13" ht="14.25">
      <c r="A53" s="170" t="s">
        <v>162</v>
      </c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</row>
    <row r="54" spans="1:13" ht="14.25">
      <c r="A54" s="174" t="s">
        <v>163</v>
      </c>
      <c r="B54" s="175"/>
      <c r="C54" s="175"/>
      <c r="D54" s="176"/>
      <c r="E54" s="60"/>
      <c r="F54" s="60"/>
      <c r="G54" s="60"/>
      <c r="H54" s="36" t="s">
        <v>176</v>
      </c>
      <c r="I54" s="36" t="s">
        <v>176</v>
      </c>
      <c r="J54" s="36" t="s">
        <v>176</v>
      </c>
      <c r="K54" s="36" t="s">
        <v>176</v>
      </c>
      <c r="L54" s="36" t="s">
        <v>176</v>
      </c>
      <c r="M54" s="36" t="s">
        <v>176</v>
      </c>
    </row>
    <row r="55" spans="1:13" ht="14.25">
      <c r="A55" s="170" t="s">
        <v>164</v>
      </c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2"/>
    </row>
    <row r="56" spans="1:13" ht="14.25">
      <c r="A56" s="174" t="s">
        <v>165</v>
      </c>
      <c r="B56" s="175"/>
      <c r="C56" s="175"/>
      <c r="D56" s="176"/>
      <c r="E56" s="60"/>
      <c r="F56" s="60"/>
      <c r="G56" s="60"/>
      <c r="H56" s="36" t="s">
        <v>176</v>
      </c>
      <c r="I56" s="36" t="s">
        <v>176</v>
      </c>
      <c r="J56" s="36" t="s">
        <v>176</v>
      </c>
      <c r="K56" s="36" t="s">
        <v>176</v>
      </c>
      <c r="L56" s="36" t="s">
        <v>176</v>
      </c>
      <c r="M56" s="36" t="s">
        <v>176</v>
      </c>
    </row>
    <row r="58" spans="1:13" ht="15.75">
      <c r="A58" s="182" t="s">
        <v>166</v>
      </c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</row>
    <row r="59" spans="1:13" ht="15.75">
      <c r="A59" s="181" t="s">
        <v>167</v>
      </c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</row>
    <row r="60" spans="1:13" ht="15.75">
      <c r="A60" s="181" t="s">
        <v>254</v>
      </c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</row>
    <row r="61" spans="1:13" ht="15.75">
      <c r="A61" s="181" t="s">
        <v>255</v>
      </c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</row>
  </sheetData>
  <sheetProtection/>
  <mergeCells count="65">
    <mergeCell ref="A48:D48"/>
    <mergeCell ref="E46:G46"/>
    <mergeCell ref="A40:M40"/>
    <mergeCell ref="A43:D43"/>
    <mergeCell ref="A44:D44"/>
    <mergeCell ref="A46:D46"/>
    <mergeCell ref="A45:D45"/>
    <mergeCell ref="E48:H48"/>
    <mergeCell ref="E42:G42"/>
    <mergeCell ref="A47:M47"/>
    <mergeCell ref="A10:M13"/>
    <mergeCell ref="A14:D14"/>
    <mergeCell ref="A15:D16"/>
    <mergeCell ref="H15:H16"/>
    <mergeCell ref="A24:D24"/>
    <mergeCell ref="E14:M14"/>
    <mergeCell ref="F15:F16"/>
    <mergeCell ref="I15:I16"/>
    <mergeCell ref="E15:E16"/>
    <mergeCell ref="A22:D22"/>
    <mergeCell ref="A60:M60"/>
    <mergeCell ref="A58:M58"/>
    <mergeCell ref="A59:M59"/>
    <mergeCell ref="A52:D52"/>
    <mergeCell ref="E52:H52"/>
    <mergeCell ref="A61:M61"/>
    <mergeCell ref="A53:M53"/>
    <mergeCell ref="A54:D54"/>
    <mergeCell ref="A55:M55"/>
    <mergeCell ref="A56:D56"/>
    <mergeCell ref="E51:H51"/>
    <mergeCell ref="A51:D51"/>
    <mergeCell ref="A49:D49"/>
    <mergeCell ref="A39:D39"/>
    <mergeCell ref="A25:D25"/>
    <mergeCell ref="A50:D50"/>
    <mergeCell ref="A32:D32"/>
    <mergeCell ref="A31:D31"/>
    <mergeCell ref="E49:H49"/>
    <mergeCell ref="E50:H50"/>
    <mergeCell ref="E39:G39"/>
    <mergeCell ref="M15:M16"/>
    <mergeCell ref="A29:D29"/>
    <mergeCell ref="A42:D42"/>
    <mergeCell ref="A41:D41"/>
    <mergeCell ref="A35:D35"/>
    <mergeCell ref="A36:D36"/>
    <mergeCell ref="A37:D37"/>
    <mergeCell ref="A33:D33"/>
    <mergeCell ref="A34:M34"/>
    <mergeCell ref="A38:D38"/>
    <mergeCell ref="A19:D19"/>
    <mergeCell ref="A20:D20"/>
    <mergeCell ref="A26:D26"/>
    <mergeCell ref="A30:M30"/>
    <mergeCell ref="A18:D18"/>
    <mergeCell ref="A28:D28"/>
    <mergeCell ref="K15:K16"/>
    <mergeCell ref="J15:J16"/>
    <mergeCell ref="A23:D23"/>
    <mergeCell ref="G15:G16"/>
    <mergeCell ref="A27:D27"/>
    <mergeCell ref="A21:D21"/>
    <mergeCell ref="A17:M17"/>
    <mergeCell ref="L15:L16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2" r:id="rId2"/>
  <rowBreaks count="1" manualBreakCount="1">
    <brk id="62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3399"/>
  </sheetPr>
  <dimension ref="A1:D89"/>
  <sheetViews>
    <sheetView zoomScalePageLayoutView="0" workbookViewId="0" topLeftCell="A1">
      <selection activeCell="A3" sqref="A3:IV3"/>
    </sheetView>
  </sheetViews>
  <sheetFormatPr defaultColWidth="8.875" defaultRowHeight="12.75"/>
  <cols>
    <col min="1" max="1" width="16.875" style="0" customWidth="1"/>
    <col min="2" max="2" width="43.25390625" style="0" customWidth="1"/>
    <col min="3" max="3" width="56.25390625" style="0" customWidth="1"/>
    <col min="4" max="4" width="12.375" style="0" customWidth="1"/>
    <col min="5" max="5" width="31.875" style="0" customWidth="1"/>
  </cols>
  <sheetData>
    <row r="1" spans="1:4" ht="12.75">
      <c r="A1" s="227"/>
      <c r="B1" s="227"/>
      <c r="C1" s="227"/>
      <c r="D1" s="227"/>
    </row>
    <row r="2" spans="1:4" ht="16.5" thickBot="1">
      <c r="A2" s="155" t="s">
        <v>151</v>
      </c>
      <c r="B2" s="155"/>
      <c r="C2" s="155"/>
      <c r="D2" s="155"/>
    </row>
    <row r="3" spans="1:4" ht="16.5" customHeight="1" thickBot="1">
      <c r="A3" s="133" t="s">
        <v>0</v>
      </c>
      <c r="B3" s="156" t="s">
        <v>1</v>
      </c>
      <c r="C3" s="157"/>
      <c r="D3" s="134" t="s">
        <v>75</v>
      </c>
    </row>
    <row r="4" spans="1:4" ht="16.5" thickBot="1">
      <c r="A4" s="160" t="s">
        <v>545</v>
      </c>
      <c r="B4" s="161"/>
      <c r="C4" s="161"/>
      <c r="D4" s="162"/>
    </row>
    <row r="5" spans="1:4" ht="24.75" customHeight="1">
      <c r="A5" s="116" t="s">
        <v>543</v>
      </c>
      <c r="B5" s="228" t="s">
        <v>554</v>
      </c>
      <c r="C5" s="229"/>
      <c r="D5" s="43">
        <f>1540*k</f>
        <v>785400</v>
      </c>
    </row>
    <row r="6" spans="1:4" ht="24.75" customHeight="1">
      <c r="A6" s="138" t="s">
        <v>663</v>
      </c>
      <c r="B6" s="195" t="s">
        <v>664</v>
      </c>
      <c r="C6" s="196"/>
      <c r="D6" s="137">
        <f>1680*k</f>
        <v>856800</v>
      </c>
    </row>
    <row r="7" spans="1:4" ht="26.25" customHeight="1">
      <c r="A7" s="55" t="s">
        <v>544</v>
      </c>
      <c r="B7" s="199" t="s">
        <v>555</v>
      </c>
      <c r="C7" s="200"/>
      <c r="D7" s="51">
        <f>1870*k</f>
        <v>953700</v>
      </c>
    </row>
    <row r="8" spans="1:4" s="17" customFormat="1" ht="36" customHeight="1">
      <c r="A8" s="55" t="s">
        <v>621</v>
      </c>
      <c r="B8" s="199" t="s">
        <v>556</v>
      </c>
      <c r="C8" s="200"/>
      <c r="D8" s="51">
        <f>1890*k</f>
        <v>963900</v>
      </c>
    </row>
    <row r="9" spans="1:4" ht="40.5" customHeight="1">
      <c r="A9" s="55" t="s">
        <v>546</v>
      </c>
      <c r="B9" s="199" t="s">
        <v>557</v>
      </c>
      <c r="C9" s="200"/>
      <c r="D9" s="51">
        <f>2025*k</f>
        <v>1032750</v>
      </c>
    </row>
    <row r="10" spans="1:4" ht="39" customHeight="1">
      <c r="A10" s="55" t="s">
        <v>547</v>
      </c>
      <c r="B10" s="199" t="s">
        <v>558</v>
      </c>
      <c r="C10" s="200"/>
      <c r="D10" s="51">
        <f>2285*k</f>
        <v>1165350</v>
      </c>
    </row>
    <row r="11" spans="1:4" ht="39" customHeight="1">
      <c r="A11" s="55" t="s">
        <v>548</v>
      </c>
      <c r="B11" s="199" t="s">
        <v>559</v>
      </c>
      <c r="C11" s="200"/>
      <c r="D11" s="51">
        <f>2345*k</f>
        <v>1195950</v>
      </c>
    </row>
    <row r="12" spans="1:4" ht="36.75" customHeight="1">
      <c r="A12" s="55" t="s">
        <v>549</v>
      </c>
      <c r="B12" s="199" t="s">
        <v>560</v>
      </c>
      <c r="C12" s="200"/>
      <c r="D12" s="51">
        <f>2215*k</f>
        <v>1129650</v>
      </c>
    </row>
    <row r="13" spans="1:4" ht="40.5" customHeight="1">
      <c r="A13" s="55" t="s">
        <v>550</v>
      </c>
      <c r="B13" s="199" t="s">
        <v>561</v>
      </c>
      <c r="C13" s="200"/>
      <c r="D13" s="51">
        <f>2290*k</f>
        <v>1167900</v>
      </c>
    </row>
    <row r="14" spans="1:4" ht="26.25" customHeight="1">
      <c r="A14" s="55" t="s">
        <v>551</v>
      </c>
      <c r="B14" s="199" t="s">
        <v>562</v>
      </c>
      <c r="C14" s="200"/>
      <c r="D14" s="51">
        <f>2490*k</f>
        <v>1269900</v>
      </c>
    </row>
    <row r="15" spans="1:4" ht="26.25" customHeight="1">
      <c r="A15" s="55" t="s">
        <v>552</v>
      </c>
      <c r="B15" s="203" t="s">
        <v>563</v>
      </c>
      <c r="C15" s="204"/>
      <c r="D15" s="51">
        <f>1775*k</f>
        <v>905250</v>
      </c>
    </row>
    <row r="16" spans="1:4" ht="36" customHeight="1" thickBot="1">
      <c r="A16" s="55" t="s">
        <v>553</v>
      </c>
      <c r="B16" s="203" t="s">
        <v>564</v>
      </c>
      <c r="C16" s="204"/>
      <c r="D16" s="51">
        <f>1780*k</f>
        <v>907800</v>
      </c>
    </row>
    <row r="17" spans="1:4" ht="16.5" thickBot="1">
      <c r="A17" s="160" t="s">
        <v>565</v>
      </c>
      <c r="B17" s="161"/>
      <c r="C17" s="161"/>
      <c r="D17" s="162"/>
    </row>
    <row r="18" spans="1:4" ht="28.5" customHeight="1">
      <c r="A18" s="109" t="s">
        <v>566</v>
      </c>
      <c r="B18" s="201" t="s">
        <v>578</v>
      </c>
      <c r="C18" s="202"/>
      <c r="D18" s="43">
        <f>(1800)*k</f>
        <v>918000</v>
      </c>
    </row>
    <row r="19" spans="1:4" ht="26.25" customHeight="1">
      <c r="A19" s="55" t="s">
        <v>665</v>
      </c>
      <c r="B19" s="197" t="s">
        <v>666</v>
      </c>
      <c r="C19" s="198"/>
      <c r="D19" s="51">
        <f>1940*k</f>
        <v>989400</v>
      </c>
    </row>
    <row r="20" spans="1:4" s="17" customFormat="1" ht="36" customHeight="1">
      <c r="A20" s="55" t="s">
        <v>567</v>
      </c>
      <c r="B20" s="199" t="s">
        <v>579</v>
      </c>
      <c r="C20" s="200"/>
      <c r="D20" s="51">
        <f>2130*k</f>
        <v>1086300</v>
      </c>
    </row>
    <row r="21" spans="1:4" s="17" customFormat="1" ht="38.25" customHeight="1">
      <c r="A21" s="62" t="s">
        <v>568</v>
      </c>
      <c r="B21" s="199" t="s">
        <v>580</v>
      </c>
      <c r="C21" s="200"/>
      <c r="D21" s="51">
        <f>2150*k</f>
        <v>1096500</v>
      </c>
    </row>
    <row r="22" spans="1:4" s="17" customFormat="1" ht="40.5" customHeight="1">
      <c r="A22" t="s">
        <v>667</v>
      </c>
      <c r="B22" s="199" t="s">
        <v>668</v>
      </c>
      <c r="C22" s="200"/>
      <c r="D22" s="51">
        <f>2290*k</f>
        <v>1167900</v>
      </c>
    </row>
    <row r="23" spans="1:4" s="17" customFormat="1" ht="36" customHeight="1">
      <c r="A23" s="62" t="s">
        <v>569</v>
      </c>
      <c r="B23" s="199" t="s">
        <v>581</v>
      </c>
      <c r="C23" s="200"/>
      <c r="D23" s="51">
        <f>2285*k</f>
        <v>1165350</v>
      </c>
    </row>
    <row r="24" spans="1:4" s="17" customFormat="1" ht="35.25" customHeight="1">
      <c r="A24" s="62" t="s">
        <v>570</v>
      </c>
      <c r="B24" s="199" t="s">
        <v>582</v>
      </c>
      <c r="C24" s="200"/>
      <c r="D24" s="51">
        <f>2545*k</f>
        <v>1297950</v>
      </c>
    </row>
    <row r="25" spans="1:4" s="17" customFormat="1" ht="36.75" customHeight="1">
      <c r="A25" t="s">
        <v>669</v>
      </c>
      <c r="B25" s="199" t="s">
        <v>670</v>
      </c>
      <c r="C25" s="200"/>
      <c r="D25" s="51">
        <f>2685*k</f>
        <v>1369350</v>
      </c>
    </row>
    <row r="26" spans="1:4" s="17" customFormat="1" ht="46.5" customHeight="1">
      <c r="A26" s="62" t="s">
        <v>571</v>
      </c>
      <c r="B26" s="199" t="s">
        <v>583</v>
      </c>
      <c r="C26" s="200"/>
      <c r="D26" s="51">
        <f>2605*k</f>
        <v>1328550</v>
      </c>
    </row>
    <row r="27" spans="1:4" s="17" customFormat="1" ht="40.5" customHeight="1">
      <c r="A27" s="62" t="s">
        <v>572</v>
      </c>
      <c r="B27" s="199" t="s">
        <v>584</v>
      </c>
      <c r="C27" s="200"/>
      <c r="D27" s="51">
        <f>2475*k</f>
        <v>1262250</v>
      </c>
    </row>
    <row r="28" spans="1:4" s="17" customFormat="1" ht="40.5" customHeight="1">
      <c r="A28" t="s">
        <v>671</v>
      </c>
      <c r="B28" s="199" t="s">
        <v>672</v>
      </c>
      <c r="C28" s="200"/>
      <c r="D28" s="51">
        <f>2615*k</f>
        <v>1333650</v>
      </c>
    </row>
    <row r="29" spans="1:4" s="17" customFormat="1" ht="41.25" customHeight="1">
      <c r="A29" s="62" t="s">
        <v>573</v>
      </c>
      <c r="B29" s="199" t="s">
        <v>673</v>
      </c>
      <c r="C29" s="200"/>
      <c r="D29" s="51">
        <f>2250*k</f>
        <v>1147500</v>
      </c>
    </row>
    <row r="30" spans="1:4" s="17" customFormat="1" ht="50.25" customHeight="1">
      <c r="A30" s="62" t="s">
        <v>574</v>
      </c>
      <c r="B30" s="199" t="s">
        <v>585</v>
      </c>
      <c r="C30" s="200"/>
      <c r="D30" s="51">
        <f>2895*k</f>
        <v>1476450</v>
      </c>
    </row>
    <row r="31" spans="1:4" ht="29.25" customHeight="1">
      <c r="A31" s="62" t="s">
        <v>575</v>
      </c>
      <c r="B31" s="199" t="s">
        <v>586</v>
      </c>
      <c r="C31" s="200"/>
      <c r="D31" s="51">
        <f>2750*k</f>
        <v>1402500</v>
      </c>
    </row>
    <row r="32" spans="1:4" ht="27.75" customHeight="1">
      <c r="A32" s="62" t="s">
        <v>576</v>
      </c>
      <c r="B32" s="199" t="s">
        <v>587</v>
      </c>
      <c r="C32" s="200"/>
      <c r="D32" s="51">
        <f>2030*k</f>
        <v>1035300</v>
      </c>
    </row>
    <row r="33" spans="1:4" ht="36" customHeight="1">
      <c r="A33" s="62" t="s">
        <v>577</v>
      </c>
      <c r="B33" s="199" t="s">
        <v>588</v>
      </c>
      <c r="C33" s="200"/>
      <c r="D33" s="51">
        <f>2040*k</f>
        <v>1040400</v>
      </c>
    </row>
    <row r="34" spans="1:4" ht="53.25" customHeight="1" thickBot="1">
      <c r="A34" s="62" t="s">
        <v>674</v>
      </c>
      <c r="B34" s="199" t="s">
        <v>675</v>
      </c>
      <c r="C34" s="200"/>
      <c r="D34" s="51">
        <f>2635*k</f>
        <v>1343850</v>
      </c>
    </row>
    <row r="35" spans="1:4" ht="16.5" thickBot="1">
      <c r="A35" s="207" t="s">
        <v>6</v>
      </c>
      <c r="B35" s="161"/>
      <c r="C35" s="161"/>
      <c r="D35" s="162"/>
    </row>
    <row r="36" spans="1:4" ht="12.75">
      <c r="A36" s="19" t="s">
        <v>589</v>
      </c>
      <c r="B36" s="22" t="s">
        <v>77</v>
      </c>
      <c r="C36" s="23" t="s">
        <v>368</v>
      </c>
      <c r="D36" s="43">
        <f>87*k</f>
        <v>44370</v>
      </c>
    </row>
    <row r="37" spans="1:4" ht="12.75">
      <c r="A37" s="62" t="s">
        <v>590</v>
      </c>
      <c r="B37" s="44" t="s">
        <v>77</v>
      </c>
      <c r="C37" s="44" t="s">
        <v>369</v>
      </c>
      <c r="D37" s="53">
        <f>66*k</f>
        <v>33660</v>
      </c>
    </row>
    <row r="38" spans="1:4" ht="24">
      <c r="A38" s="114" t="s">
        <v>591</v>
      </c>
      <c r="B38" s="55" t="s">
        <v>78</v>
      </c>
      <c r="C38" s="33" t="s">
        <v>370</v>
      </c>
      <c r="D38" s="51">
        <f>70*k</f>
        <v>35700</v>
      </c>
    </row>
    <row r="39" spans="1:4" ht="24">
      <c r="A39" s="14" t="s">
        <v>653</v>
      </c>
      <c r="B39" s="105" t="s">
        <v>77</v>
      </c>
      <c r="C39" s="106" t="s">
        <v>654</v>
      </c>
      <c r="D39" s="51">
        <f>87*k</f>
        <v>44370</v>
      </c>
    </row>
    <row r="40" spans="1:4" ht="24">
      <c r="A40" s="14" t="s">
        <v>657</v>
      </c>
      <c r="B40" s="105" t="s">
        <v>77</v>
      </c>
      <c r="C40" s="135" t="s">
        <v>658</v>
      </c>
      <c r="D40" s="51">
        <f>75*k</f>
        <v>38250</v>
      </c>
    </row>
    <row r="41" spans="1:4" ht="24.75" thickBot="1">
      <c r="A41" s="114" t="s">
        <v>659</v>
      </c>
      <c r="B41" s="55" t="s">
        <v>78</v>
      </c>
      <c r="C41" s="33" t="s">
        <v>660</v>
      </c>
      <c r="D41" s="51">
        <f>74*k</f>
        <v>37740</v>
      </c>
    </row>
    <row r="42" spans="1:4" ht="16.5" thickBot="1">
      <c r="A42" s="160" t="s">
        <v>592</v>
      </c>
      <c r="B42" s="223"/>
      <c r="C42" s="223"/>
      <c r="D42" s="224"/>
    </row>
    <row r="43" spans="1:4" ht="12.75">
      <c r="A43" s="55" t="s">
        <v>676</v>
      </c>
      <c r="B43" s="104" t="s">
        <v>677</v>
      </c>
      <c r="C43" s="104" t="s">
        <v>678</v>
      </c>
      <c r="D43" s="51">
        <f>90*k</f>
        <v>45900</v>
      </c>
    </row>
    <row r="44" spans="1:4" ht="24.75" customHeight="1">
      <c r="A44" s="48" t="s">
        <v>593</v>
      </c>
      <c r="B44" s="103" t="s">
        <v>278</v>
      </c>
      <c r="C44" s="3" t="s">
        <v>395</v>
      </c>
      <c r="D44" s="51">
        <f>64*k</f>
        <v>32640</v>
      </c>
    </row>
    <row r="45" spans="1:4" ht="30.75" customHeight="1">
      <c r="A45" s="55" t="s">
        <v>619</v>
      </c>
      <c r="B45" s="104" t="s">
        <v>80</v>
      </c>
      <c r="C45" s="11" t="s">
        <v>396</v>
      </c>
      <c r="D45" s="51">
        <f>75*k</f>
        <v>38250</v>
      </c>
    </row>
    <row r="46" spans="1:4" ht="57.75" customHeight="1" thickBot="1">
      <c r="A46" s="48" t="s">
        <v>594</v>
      </c>
      <c r="B46" s="55" t="s">
        <v>281</v>
      </c>
      <c r="C46" s="33" t="s">
        <v>397</v>
      </c>
      <c r="D46" s="49">
        <f>105*k</f>
        <v>53550</v>
      </c>
    </row>
    <row r="47" spans="1:4" ht="16.5" thickBot="1">
      <c r="A47" s="160" t="s">
        <v>8</v>
      </c>
      <c r="B47" s="161"/>
      <c r="C47" s="161"/>
      <c r="D47" s="162"/>
    </row>
    <row r="48" spans="1:4" ht="12.75">
      <c r="A48" s="5" t="s">
        <v>595</v>
      </c>
      <c r="B48" s="225" t="s">
        <v>366</v>
      </c>
      <c r="C48" s="226"/>
      <c r="D48" s="51">
        <f>66*k</f>
        <v>33660</v>
      </c>
    </row>
    <row r="49" spans="1:4" ht="12.75" customHeight="1">
      <c r="A49" s="5" t="s">
        <v>596</v>
      </c>
      <c r="B49" s="199" t="s">
        <v>367</v>
      </c>
      <c r="C49" s="200"/>
      <c r="D49" s="51">
        <f>25*k</f>
        <v>12750</v>
      </c>
    </row>
    <row r="50" spans="1:4" ht="12.75" customHeight="1">
      <c r="A50" s="4" t="s">
        <v>597</v>
      </c>
      <c r="B50" s="199" t="s">
        <v>372</v>
      </c>
      <c r="C50" s="200"/>
      <c r="D50" s="51">
        <f>35*k</f>
        <v>17850</v>
      </c>
    </row>
    <row r="51" spans="1:4" ht="12.75">
      <c r="A51" s="4" t="s">
        <v>598</v>
      </c>
      <c r="B51" s="199" t="s">
        <v>373</v>
      </c>
      <c r="C51" s="200"/>
      <c r="D51" s="51">
        <f>35*k</f>
        <v>17850</v>
      </c>
    </row>
    <row r="52" spans="1:4" ht="12.75">
      <c r="A52" s="4" t="s">
        <v>599</v>
      </c>
      <c r="B52" s="199" t="s">
        <v>374</v>
      </c>
      <c r="C52" s="200"/>
      <c r="D52" s="51">
        <f>35*k</f>
        <v>17850</v>
      </c>
    </row>
    <row r="53" spans="1:4" ht="12.75">
      <c r="A53" s="4" t="s">
        <v>600</v>
      </c>
      <c r="B53" s="199" t="s">
        <v>375</v>
      </c>
      <c r="C53" s="200"/>
      <c r="D53" s="51">
        <f>33*k</f>
        <v>16830</v>
      </c>
    </row>
    <row r="54" spans="1:4" ht="12.75">
      <c r="A54" s="4" t="s">
        <v>601</v>
      </c>
      <c r="B54" s="199" t="s">
        <v>376</v>
      </c>
      <c r="C54" s="200"/>
      <c r="D54" s="51">
        <f>70*k</f>
        <v>35700</v>
      </c>
    </row>
    <row r="55" spans="1:4" ht="12.75">
      <c r="A55" s="4" t="s">
        <v>602</v>
      </c>
      <c r="B55" s="199" t="s">
        <v>377</v>
      </c>
      <c r="C55" s="200"/>
      <c r="D55" s="51">
        <f>70*k</f>
        <v>35700</v>
      </c>
    </row>
    <row r="56" spans="1:4" ht="12.75" customHeight="1">
      <c r="A56" s="4" t="s">
        <v>603</v>
      </c>
      <c r="B56" s="199" t="s">
        <v>378</v>
      </c>
      <c r="C56" s="200"/>
      <c r="D56" s="51">
        <f>50*k</f>
        <v>25500</v>
      </c>
    </row>
    <row r="57" spans="1:4" ht="12.75">
      <c r="A57" s="102" t="s">
        <v>604</v>
      </c>
      <c r="B57" s="199" t="s">
        <v>394</v>
      </c>
      <c r="C57" s="200"/>
      <c r="D57" s="51">
        <f>20*k</f>
        <v>10200</v>
      </c>
    </row>
    <row r="58" spans="1:4" ht="12.75" customHeight="1">
      <c r="A58" s="4" t="s">
        <v>605</v>
      </c>
      <c r="B58" s="199" t="s">
        <v>380</v>
      </c>
      <c r="C58" s="200"/>
      <c r="D58" s="51">
        <f>43*k</f>
        <v>21930</v>
      </c>
    </row>
    <row r="59" spans="1:4" ht="13.5" thickBot="1">
      <c r="A59" s="6" t="s">
        <v>606</v>
      </c>
      <c r="B59" s="219" t="s">
        <v>381</v>
      </c>
      <c r="C59" s="220"/>
      <c r="D59" s="51">
        <f>75*k</f>
        <v>38250</v>
      </c>
    </row>
    <row r="60" spans="1:4" ht="13.5" thickBot="1">
      <c r="A60" s="6" t="s">
        <v>655</v>
      </c>
      <c r="B60" s="219" t="s">
        <v>656</v>
      </c>
      <c r="C60" s="220"/>
      <c r="D60" s="51">
        <f>25*k</f>
        <v>12750</v>
      </c>
    </row>
    <row r="61" spans="1:4" ht="16.5" thickBot="1">
      <c r="A61" s="160" t="s">
        <v>608</v>
      </c>
      <c r="B61" s="161"/>
      <c r="C61" s="161"/>
      <c r="D61" s="162"/>
    </row>
    <row r="62" spans="1:4" ht="12.75">
      <c r="A62" s="10" t="s">
        <v>449</v>
      </c>
      <c r="B62" s="221" t="s">
        <v>609</v>
      </c>
      <c r="C62" s="222"/>
      <c r="D62" s="16">
        <f>1690*k</f>
        <v>861900</v>
      </c>
    </row>
    <row r="63" spans="1:4" ht="25.5" customHeight="1">
      <c r="A63" s="136" t="s">
        <v>661</v>
      </c>
      <c r="B63" s="199" t="s">
        <v>662</v>
      </c>
      <c r="C63" s="200"/>
      <c r="D63" s="16">
        <f>140*k</f>
        <v>71400</v>
      </c>
    </row>
    <row r="64" spans="1:4" ht="12.75">
      <c r="A64" s="107" t="s">
        <v>607</v>
      </c>
      <c r="B64" s="217" t="s">
        <v>222</v>
      </c>
      <c r="C64" s="218"/>
      <c r="D64" s="20">
        <f>290*k</f>
        <v>147900</v>
      </c>
    </row>
    <row r="65" spans="1:4" s="46" customFormat="1" ht="12.75">
      <c r="A65" s="56" t="s">
        <v>23</v>
      </c>
      <c r="B65" s="209" t="s">
        <v>220</v>
      </c>
      <c r="C65" s="210"/>
      <c r="D65" s="51">
        <f>350*k</f>
        <v>178500</v>
      </c>
    </row>
    <row r="66" spans="1:4" ht="12.75">
      <c r="A66" s="12" t="s">
        <v>610</v>
      </c>
      <c r="B66" s="211" t="s">
        <v>611</v>
      </c>
      <c r="C66" s="212"/>
      <c r="D66" s="34">
        <f>220*k</f>
        <v>112200</v>
      </c>
    </row>
    <row r="67" spans="1:4" ht="12.75" customHeight="1">
      <c r="A67" s="12" t="s">
        <v>262</v>
      </c>
      <c r="B67" s="199" t="s">
        <v>267</v>
      </c>
      <c r="C67" s="200"/>
      <c r="D67" s="34">
        <f>620*k</f>
        <v>316200</v>
      </c>
    </row>
    <row r="68" spans="1:4" ht="12.75">
      <c r="A68" s="12" t="s">
        <v>263</v>
      </c>
      <c r="B68" s="211" t="s">
        <v>265</v>
      </c>
      <c r="C68" s="212"/>
      <c r="D68" s="34">
        <f>200*k</f>
        <v>102000</v>
      </c>
    </row>
    <row r="69" spans="1:4" ht="12.75" customHeight="1">
      <c r="A69" s="48" t="s">
        <v>224</v>
      </c>
      <c r="B69" s="199" t="s">
        <v>225</v>
      </c>
      <c r="C69" s="200"/>
      <c r="D69" s="34">
        <f>660*k</f>
        <v>336600</v>
      </c>
    </row>
    <row r="70" spans="1:4" ht="59.25" customHeight="1">
      <c r="A70" s="48" t="s">
        <v>266</v>
      </c>
      <c r="B70" s="199" t="s">
        <v>615</v>
      </c>
      <c r="C70" s="200"/>
      <c r="D70" s="34">
        <f>690*k</f>
        <v>351900</v>
      </c>
    </row>
    <row r="71" spans="1:4" ht="47.25" customHeight="1">
      <c r="A71" s="48" t="s">
        <v>617</v>
      </c>
      <c r="B71" s="199" t="s">
        <v>618</v>
      </c>
      <c r="C71" s="200"/>
      <c r="D71" s="34">
        <f>805*k</f>
        <v>410550</v>
      </c>
    </row>
    <row r="72" spans="1:4" ht="42" customHeight="1">
      <c r="A72" s="48" t="s">
        <v>613</v>
      </c>
      <c r="B72" s="199" t="s">
        <v>614</v>
      </c>
      <c r="C72" s="200"/>
      <c r="D72" s="34">
        <f>430*k</f>
        <v>219300</v>
      </c>
    </row>
    <row r="73" spans="1:4" ht="12.75">
      <c r="A73" s="12" t="s">
        <v>269</v>
      </c>
      <c r="B73" s="211" t="s">
        <v>270</v>
      </c>
      <c r="C73" s="212"/>
      <c r="D73" s="34">
        <f>150*k</f>
        <v>76500</v>
      </c>
    </row>
    <row r="74" spans="1:4" ht="36" customHeight="1">
      <c r="A74" s="48" t="s">
        <v>402</v>
      </c>
      <c r="B74" s="199" t="s">
        <v>612</v>
      </c>
      <c r="C74" s="200"/>
      <c r="D74" s="34">
        <f>1215*k</f>
        <v>619650</v>
      </c>
    </row>
    <row r="75" spans="1:4" ht="13.5" thickBot="1">
      <c r="A75" s="52" t="s">
        <v>269</v>
      </c>
      <c r="B75" s="213" t="s">
        <v>616</v>
      </c>
      <c r="C75" s="214"/>
      <c r="D75" s="34">
        <f>150*k</f>
        <v>76500</v>
      </c>
    </row>
    <row r="76" spans="1:4" ht="13.5" thickBot="1">
      <c r="A76" s="52" t="s">
        <v>24</v>
      </c>
      <c r="B76" s="215" t="s">
        <v>25</v>
      </c>
      <c r="C76" s="216"/>
      <c r="D76" s="34">
        <f>55*k</f>
        <v>28050</v>
      </c>
    </row>
    <row r="77" spans="1:4" ht="27.75" customHeight="1" thickBot="1">
      <c r="A77" s="52" t="s">
        <v>297</v>
      </c>
      <c r="B77" s="203" t="s">
        <v>475</v>
      </c>
      <c r="C77" s="204"/>
      <c r="D77" s="34">
        <f>115*k</f>
        <v>58650</v>
      </c>
    </row>
    <row r="78" spans="1:4" ht="15.75" customHeight="1" thickBot="1">
      <c r="A78" s="52" t="s">
        <v>476</v>
      </c>
      <c r="B78" s="203" t="s">
        <v>477</v>
      </c>
      <c r="C78" s="204"/>
      <c r="D78" s="34">
        <f>20*k</f>
        <v>10200</v>
      </c>
    </row>
    <row r="79" spans="1:3" ht="57.75" customHeight="1" thickBot="1">
      <c r="A79" s="205" t="s">
        <v>274</v>
      </c>
      <c r="B79" s="206"/>
      <c r="C79" s="206"/>
    </row>
    <row r="80" spans="1:4" ht="16.5" thickBot="1">
      <c r="A80" s="160" t="s">
        <v>488</v>
      </c>
      <c r="B80" s="161"/>
      <c r="C80" s="161"/>
      <c r="D80" s="162"/>
    </row>
    <row r="81" spans="1:4" ht="29.25" customHeight="1" thickBot="1">
      <c r="A81" s="52" t="s">
        <v>297</v>
      </c>
      <c r="B81" s="203" t="s">
        <v>475</v>
      </c>
      <c r="C81" s="204"/>
      <c r="D81" s="34">
        <f>115*k</f>
        <v>58650</v>
      </c>
    </row>
    <row r="82" spans="1:4" ht="13.5" thickBot="1">
      <c r="A82" s="52" t="s">
        <v>476</v>
      </c>
      <c r="B82" s="208" t="s">
        <v>477</v>
      </c>
      <c r="C82" s="208"/>
      <c r="D82" s="34">
        <f>20*k</f>
        <v>10200</v>
      </c>
    </row>
    <row r="83" spans="1:4" ht="12.75">
      <c r="A83" s="56" t="s">
        <v>51</v>
      </c>
      <c r="B83" s="209" t="s">
        <v>487</v>
      </c>
      <c r="C83" s="210"/>
      <c r="D83" s="24">
        <f>_xlfn.FLOOR.PRECISE(36*k,100)</f>
        <v>18300</v>
      </c>
    </row>
    <row r="84" spans="1:4" ht="12.75">
      <c r="A84" s="56" t="s">
        <v>52</v>
      </c>
      <c r="B84" s="211" t="s">
        <v>53</v>
      </c>
      <c r="C84" s="212"/>
      <c r="D84" s="24">
        <f>44*k</f>
        <v>22440</v>
      </c>
    </row>
    <row r="85" spans="1:4" ht="12.75">
      <c r="A85" s="56" t="s">
        <v>99</v>
      </c>
      <c r="B85" s="199" t="s">
        <v>102</v>
      </c>
      <c r="C85" s="212"/>
      <c r="D85" s="24">
        <f>96*k</f>
        <v>48960</v>
      </c>
    </row>
    <row r="86" spans="1:4" ht="12.75">
      <c r="A86" s="56" t="s">
        <v>100</v>
      </c>
      <c r="B86" s="211" t="s">
        <v>103</v>
      </c>
      <c r="C86" s="212"/>
      <c r="D86" s="24">
        <f>43*k</f>
        <v>21930</v>
      </c>
    </row>
    <row r="87" spans="1:4" ht="12.75">
      <c r="A87" s="56" t="s">
        <v>101</v>
      </c>
      <c r="B87" s="199" t="s">
        <v>104</v>
      </c>
      <c r="C87" s="212"/>
      <c r="D87" s="24">
        <f>13*k</f>
        <v>6630</v>
      </c>
    </row>
    <row r="88" spans="1:4" ht="12.75">
      <c r="A88" s="48" t="s">
        <v>59</v>
      </c>
      <c r="B88" s="211" t="s">
        <v>235</v>
      </c>
      <c r="C88" s="212"/>
      <c r="D88" s="34">
        <f>35*k</f>
        <v>17850</v>
      </c>
    </row>
    <row r="89" spans="1:4" ht="12.75">
      <c r="A89" s="12" t="s">
        <v>60</v>
      </c>
      <c r="B89" s="211" t="s">
        <v>234</v>
      </c>
      <c r="C89" s="212"/>
      <c r="D89" s="34">
        <f>10*k</f>
        <v>5100</v>
      </c>
    </row>
  </sheetData>
  <sheetProtection/>
  <mergeCells count="79">
    <mergeCell ref="B10:C10"/>
    <mergeCell ref="A17:D17"/>
    <mergeCell ref="B20:C20"/>
    <mergeCell ref="B31:C31"/>
    <mergeCell ref="B21:C21"/>
    <mergeCell ref="B23:C23"/>
    <mergeCell ref="B24:C24"/>
    <mergeCell ref="B26:C26"/>
    <mergeCell ref="B29:C29"/>
    <mergeCell ref="B30:C30"/>
    <mergeCell ref="A1:D1"/>
    <mergeCell ref="A2:D2"/>
    <mergeCell ref="B3:C3"/>
    <mergeCell ref="A4:D4"/>
    <mergeCell ref="B5:C5"/>
    <mergeCell ref="B14:C14"/>
    <mergeCell ref="B7:C7"/>
    <mergeCell ref="B11:C11"/>
    <mergeCell ref="B8:C8"/>
    <mergeCell ref="B9:C9"/>
    <mergeCell ref="A42:D42"/>
    <mergeCell ref="A47:D47"/>
    <mergeCell ref="B48:C48"/>
    <mergeCell ref="B34:C34"/>
    <mergeCell ref="B66:C66"/>
    <mergeCell ref="B67:C67"/>
    <mergeCell ref="B51:C51"/>
    <mergeCell ref="B52:C52"/>
    <mergeCell ref="B53:C53"/>
    <mergeCell ref="B54:C54"/>
    <mergeCell ref="B55:C55"/>
    <mergeCell ref="B56:C56"/>
    <mergeCell ref="B60:C60"/>
    <mergeCell ref="B71:C71"/>
    <mergeCell ref="B73:C73"/>
    <mergeCell ref="B57:C57"/>
    <mergeCell ref="B58:C58"/>
    <mergeCell ref="B59:C59"/>
    <mergeCell ref="A61:D61"/>
    <mergeCell ref="B62:C62"/>
    <mergeCell ref="B64:C64"/>
    <mergeCell ref="B65:C65"/>
    <mergeCell ref="B87:C87"/>
    <mergeCell ref="B88:C88"/>
    <mergeCell ref="B89:C89"/>
    <mergeCell ref="B85:C85"/>
    <mergeCell ref="B84:C84"/>
    <mergeCell ref="B86:C86"/>
    <mergeCell ref="B78:C78"/>
    <mergeCell ref="B15:C15"/>
    <mergeCell ref="B74:C74"/>
    <mergeCell ref="A80:D80"/>
    <mergeCell ref="B81:C81"/>
    <mergeCell ref="B82:C82"/>
    <mergeCell ref="B83:C83"/>
    <mergeCell ref="B77:C77"/>
    <mergeCell ref="B68:C68"/>
    <mergeCell ref="B75:C75"/>
    <mergeCell ref="B76:C76"/>
    <mergeCell ref="B63:C63"/>
    <mergeCell ref="B49:C49"/>
    <mergeCell ref="B50:C50"/>
    <mergeCell ref="B32:C32"/>
    <mergeCell ref="B27:C27"/>
    <mergeCell ref="A79:C79"/>
    <mergeCell ref="B69:C69"/>
    <mergeCell ref="B72:C72"/>
    <mergeCell ref="A35:D35"/>
    <mergeCell ref="B70:C70"/>
    <mergeCell ref="B6:C6"/>
    <mergeCell ref="B19:C19"/>
    <mergeCell ref="B22:C22"/>
    <mergeCell ref="B25:C25"/>
    <mergeCell ref="B28:C28"/>
    <mergeCell ref="B33:C33"/>
    <mergeCell ref="B12:C12"/>
    <mergeCell ref="B13:C13"/>
    <mergeCell ref="B18:C18"/>
    <mergeCell ref="B16:C16"/>
  </mergeCells>
  <hyperlinks>
    <hyperlink ref="A2:D2" location="Оглавление!R1C1" display="Вернуться в Оглавление"/>
  </hyperlinks>
  <printOptions/>
  <pageMargins left="0.7" right="0.7" top="0.75" bottom="0.75" header="0.3" footer="0.3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CCFF"/>
  </sheetPr>
  <dimension ref="A1:D53"/>
  <sheetViews>
    <sheetView zoomScale="115" zoomScaleNormal="115" zoomScaleSheetLayoutView="100" zoomScalePageLayoutView="0" workbookViewId="0" topLeftCell="A1">
      <selection activeCell="F34" sqref="F34"/>
    </sheetView>
  </sheetViews>
  <sheetFormatPr defaultColWidth="8.875" defaultRowHeight="12.75"/>
  <cols>
    <col min="1" max="1" width="20.25390625" style="0" customWidth="1"/>
    <col min="2" max="2" width="38.25390625" style="0" customWidth="1"/>
    <col min="3" max="3" width="52.375" style="0" customWidth="1"/>
    <col min="4" max="4" width="10.25390625" style="0" bestFit="1" customWidth="1"/>
  </cols>
  <sheetData>
    <row r="1" spans="1:4" ht="12.75">
      <c r="A1" s="227"/>
      <c r="B1" s="227"/>
      <c r="C1" s="227"/>
      <c r="D1" s="227"/>
    </row>
    <row r="2" spans="1:4" ht="16.5" thickBot="1">
      <c r="A2" s="155" t="s">
        <v>151</v>
      </c>
      <c r="B2" s="155"/>
      <c r="C2" s="155"/>
      <c r="D2" s="155"/>
    </row>
    <row r="3" spans="1:4" s="46" customFormat="1" ht="20.25" customHeight="1" thickBot="1">
      <c r="A3" s="133" t="s">
        <v>0</v>
      </c>
      <c r="B3" s="156" t="s">
        <v>1</v>
      </c>
      <c r="C3" s="157"/>
      <c r="D3" s="134" t="s">
        <v>75</v>
      </c>
    </row>
    <row r="4" spans="1:4" ht="16.5" thickBot="1">
      <c r="A4" s="160" t="s">
        <v>20</v>
      </c>
      <c r="B4" s="161"/>
      <c r="C4" s="161"/>
      <c r="D4" s="162"/>
    </row>
    <row r="5" spans="1:4" ht="12.75">
      <c r="A5" s="47" t="s">
        <v>118</v>
      </c>
      <c r="B5" s="230" t="s">
        <v>632</v>
      </c>
      <c r="C5" s="231"/>
      <c r="D5" s="43">
        <f>990*k</f>
        <v>504900</v>
      </c>
    </row>
    <row r="6" spans="1:4" ht="12.75">
      <c r="A6" s="12" t="s">
        <v>119</v>
      </c>
      <c r="B6" s="199" t="s">
        <v>461</v>
      </c>
      <c r="C6" s="200"/>
      <c r="D6" s="34">
        <f>1140*k</f>
        <v>581400</v>
      </c>
    </row>
    <row r="7" spans="1:4" ht="24" customHeight="1">
      <c r="A7" s="12" t="s">
        <v>120</v>
      </c>
      <c r="B7" s="199" t="s">
        <v>195</v>
      </c>
      <c r="C7" s="200"/>
      <c r="D7" s="34">
        <f>1490*k</f>
        <v>759900</v>
      </c>
    </row>
    <row r="8" spans="1:4" ht="12.75">
      <c r="A8" s="12" t="s">
        <v>121</v>
      </c>
      <c r="B8" s="199" t="s">
        <v>196</v>
      </c>
      <c r="C8" s="200"/>
      <c r="D8" s="34">
        <f>1825*k</f>
        <v>930750</v>
      </c>
    </row>
    <row r="9" spans="1:4" ht="24" customHeight="1">
      <c r="A9" s="12" t="s">
        <v>194</v>
      </c>
      <c r="B9" s="199" t="s">
        <v>197</v>
      </c>
      <c r="C9" s="200"/>
      <c r="D9" s="34">
        <f>1815*k</f>
        <v>925650</v>
      </c>
    </row>
    <row r="10" spans="1:4" ht="24" customHeight="1">
      <c r="A10" s="12" t="s">
        <v>199</v>
      </c>
      <c r="B10" s="203" t="s">
        <v>198</v>
      </c>
      <c r="C10" s="204"/>
      <c r="D10" s="34">
        <f>1885*k</f>
        <v>961350</v>
      </c>
    </row>
    <row r="11" spans="1:4" ht="24" customHeight="1">
      <c r="A11" s="48" t="s">
        <v>193</v>
      </c>
      <c r="B11" s="203" t="s">
        <v>200</v>
      </c>
      <c r="C11" s="204"/>
      <c r="D11" s="34">
        <f>1885*k</f>
        <v>961350</v>
      </c>
    </row>
    <row r="12" spans="1:4" ht="24" customHeight="1" thickBot="1">
      <c r="A12" s="48" t="s">
        <v>122</v>
      </c>
      <c r="B12" s="203" t="s">
        <v>201</v>
      </c>
      <c r="C12" s="204"/>
      <c r="D12" s="49">
        <f>1945*k</f>
        <v>991950</v>
      </c>
    </row>
    <row r="13" spans="1:4" ht="16.5" thickBot="1">
      <c r="A13" s="160" t="s">
        <v>6</v>
      </c>
      <c r="B13" s="161"/>
      <c r="C13" s="161"/>
      <c r="D13" s="162"/>
    </row>
    <row r="14" spans="1:4" ht="12.75">
      <c r="A14" s="26" t="s">
        <v>106</v>
      </c>
      <c r="B14" s="27" t="s">
        <v>77</v>
      </c>
      <c r="C14" s="27" t="s">
        <v>369</v>
      </c>
      <c r="D14" s="28">
        <f>66*k</f>
        <v>33660</v>
      </c>
    </row>
    <row r="15" spans="1:4" ht="24.75" thickBot="1">
      <c r="A15" s="4" t="s">
        <v>7</v>
      </c>
      <c r="B15" s="2" t="s">
        <v>78</v>
      </c>
      <c r="C15" s="3" t="s">
        <v>370</v>
      </c>
      <c r="D15" s="25">
        <f>74*k</f>
        <v>37740</v>
      </c>
    </row>
    <row r="16" spans="1:4" ht="16.5" thickBot="1">
      <c r="A16" s="160" t="s">
        <v>8</v>
      </c>
      <c r="B16" s="223"/>
      <c r="C16" s="223"/>
      <c r="D16" s="224"/>
    </row>
    <row r="17" spans="1:4" ht="12.75" customHeight="1">
      <c r="A17" s="57" t="s">
        <v>19</v>
      </c>
      <c r="B17" s="225" t="s">
        <v>366</v>
      </c>
      <c r="C17" s="226"/>
      <c r="D17" s="51">
        <f>72*k</f>
        <v>36720</v>
      </c>
    </row>
    <row r="18" spans="1:4" s="46" customFormat="1" ht="12.75" customHeight="1">
      <c r="A18" s="5" t="s">
        <v>175</v>
      </c>
      <c r="B18" s="199" t="s">
        <v>367</v>
      </c>
      <c r="C18" s="200"/>
      <c r="D18" s="51">
        <f>25*k</f>
        <v>12750</v>
      </c>
    </row>
    <row r="19" spans="1:4" s="46" customFormat="1" ht="12.75" customHeight="1">
      <c r="A19" s="4" t="s">
        <v>9</v>
      </c>
      <c r="B19" s="199" t="s">
        <v>372</v>
      </c>
      <c r="C19" s="200"/>
      <c r="D19" s="51">
        <f>35*k</f>
        <v>17850</v>
      </c>
    </row>
    <row r="20" spans="1:4" ht="12.75" customHeight="1">
      <c r="A20" s="4" t="s">
        <v>10</v>
      </c>
      <c r="B20" s="199" t="s">
        <v>373</v>
      </c>
      <c r="C20" s="200"/>
      <c r="D20" s="51">
        <f>35*k</f>
        <v>17850</v>
      </c>
    </row>
    <row r="21" spans="1:4" ht="12.75" customHeight="1">
      <c r="A21" s="4" t="s">
        <v>11</v>
      </c>
      <c r="B21" s="199" t="s">
        <v>374</v>
      </c>
      <c r="C21" s="200"/>
      <c r="D21" s="51">
        <f>35*k</f>
        <v>17850</v>
      </c>
    </row>
    <row r="22" spans="1:4" ht="12.75" customHeight="1">
      <c r="A22" s="4" t="s">
        <v>12</v>
      </c>
      <c r="B22" s="199" t="s">
        <v>375</v>
      </c>
      <c r="C22" s="200"/>
      <c r="D22" s="51">
        <f>33*k</f>
        <v>16830</v>
      </c>
    </row>
    <row r="23" spans="1:4" ht="12.75" customHeight="1">
      <c r="A23" s="4" t="s">
        <v>13</v>
      </c>
      <c r="B23" s="199" t="s">
        <v>376</v>
      </c>
      <c r="C23" s="200"/>
      <c r="D23" s="51">
        <f>70*k</f>
        <v>35700</v>
      </c>
    </row>
    <row r="24" spans="1:4" ht="12.75">
      <c r="A24" s="4" t="s">
        <v>14</v>
      </c>
      <c r="B24" s="199" t="s">
        <v>377</v>
      </c>
      <c r="C24" s="200"/>
      <c r="D24" s="51">
        <f>70*k</f>
        <v>35700</v>
      </c>
    </row>
    <row r="25" spans="1:4" ht="12.75" customHeight="1">
      <c r="A25" s="4" t="s">
        <v>15</v>
      </c>
      <c r="B25" s="199" t="s">
        <v>378</v>
      </c>
      <c r="C25" s="200"/>
      <c r="D25" s="51">
        <f>50*k</f>
        <v>25500</v>
      </c>
    </row>
    <row r="26" spans="1:4" ht="12.75" customHeight="1">
      <c r="A26" s="102" t="s">
        <v>16</v>
      </c>
      <c r="B26" s="199" t="s">
        <v>394</v>
      </c>
      <c r="C26" s="200"/>
      <c r="D26" s="51">
        <f>20*k</f>
        <v>10200</v>
      </c>
    </row>
    <row r="27" spans="1:4" ht="12.75">
      <c r="A27" s="4" t="s">
        <v>17</v>
      </c>
      <c r="B27" s="199" t="s">
        <v>380</v>
      </c>
      <c r="C27" s="200"/>
      <c r="D27" s="51">
        <f>43*k</f>
        <v>21930</v>
      </c>
    </row>
    <row r="28" spans="1:4" ht="12.75" customHeight="1" thickBot="1">
      <c r="A28" s="6" t="s">
        <v>18</v>
      </c>
      <c r="B28" s="219" t="s">
        <v>381</v>
      </c>
      <c r="C28" s="220"/>
      <c r="D28" s="51">
        <f>75*k</f>
        <v>38250</v>
      </c>
    </row>
    <row r="29" spans="1:4" ht="16.5" thickBot="1">
      <c r="A29" s="160" t="s">
        <v>333</v>
      </c>
      <c r="B29" s="161"/>
      <c r="C29" s="161"/>
      <c r="D29" s="162"/>
    </row>
    <row r="30" spans="1:4" ht="12.75">
      <c r="A30" s="12" t="s">
        <v>22</v>
      </c>
      <c r="B30" s="211" t="s">
        <v>219</v>
      </c>
      <c r="C30" s="212"/>
      <c r="D30" s="34">
        <f>250*k</f>
        <v>127500</v>
      </c>
    </row>
    <row r="31" spans="1:4" ht="12.75">
      <c r="A31" s="108" t="s">
        <v>23</v>
      </c>
      <c r="B31" s="232" t="s">
        <v>220</v>
      </c>
      <c r="C31" s="233"/>
      <c r="D31" s="51">
        <f>315*k</f>
        <v>160650</v>
      </c>
    </row>
    <row r="32" spans="1:4" ht="12.75">
      <c r="A32" s="12" t="s">
        <v>261</v>
      </c>
      <c r="B32" s="211" t="s">
        <v>221</v>
      </c>
      <c r="C32" s="212"/>
      <c r="D32" s="34">
        <f>390*k</f>
        <v>198900</v>
      </c>
    </row>
    <row r="33" spans="1:4" ht="12.75">
      <c r="A33" s="12" t="s">
        <v>297</v>
      </c>
      <c r="B33" s="65" t="s">
        <v>334</v>
      </c>
      <c r="C33" s="66"/>
      <c r="D33" s="34">
        <f>115*k</f>
        <v>58650</v>
      </c>
    </row>
    <row r="34" spans="1:4" ht="12.75">
      <c r="A34" s="12" t="s">
        <v>262</v>
      </c>
      <c r="B34" s="199" t="s">
        <v>267</v>
      </c>
      <c r="C34" s="200"/>
      <c r="D34" s="34">
        <f>560*k</f>
        <v>285600</v>
      </c>
    </row>
    <row r="35" spans="1:4" ht="12.75">
      <c r="A35" s="12" t="s">
        <v>263</v>
      </c>
      <c r="B35" s="211" t="s">
        <v>265</v>
      </c>
      <c r="C35" s="212"/>
      <c r="D35" s="34">
        <f>200*k</f>
        <v>102000</v>
      </c>
    </row>
    <row r="36" spans="1:4" ht="12.75">
      <c r="A36" s="48" t="s">
        <v>224</v>
      </c>
      <c r="B36" s="199" t="s">
        <v>225</v>
      </c>
      <c r="C36" s="200"/>
      <c r="D36" s="34">
        <f>600*k</f>
        <v>306000</v>
      </c>
    </row>
    <row r="37" spans="1:4" ht="12.75">
      <c r="A37" s="48" t="s">
        <v>266</v>
      </c>
      <c r="B37" s="199" t="s">
        <v>268</v>
      </c>
      <c r="C37" s="200"/>
      <c r="D37" s="34">
        <f>620*k</f>
        <v>316200</v>
      </c>
    </row>
    <row r="38" spans="1:4" ht="12.75">
      <c r="A38" s="12" t="s">
        <v>269</v>
      </c>
      <c r="B38" s="211" t="s">
        <v>270</v>
      </c>
      <c r="C38" s="212"/>
      <c r="D38" s="34">
        <f>150*k</f>
        <v>76500</v>
      </c>
    </row>
    <row r="39" spans="1:4" ht="12.75">
      <c r="A39" s="48" t="s">
        <v>264</v>
      </c>
      <c r="B39" s="199" t="s">
        <v>271</v>
      </c>
      <c r="C39" s="212"/>
      <c r="D39" s="34">
        <f>620*k</f>
        <v>316200</v>
      </c>
    </row>
    <row r="40" spans="1:4" ht="13.5" thickBot="1">
      <c r="A40" s="52" t="s">
        <v>272</v>
      </c>
      <c r="B40" s="213" t="s">
        <v>273</v>
      </c>
      <c r="C40" s="214"/>
      <c r="D40" s="34">
        <f>725*k</f>
        <v>369750</v>
      </c>
    </row>
    <row r="41" spans="1:4" ht="13.5" thickBot="1">
      <c r="A41" s="52" t="s">
        <v>24</v>
      </c>
      <c r="B41" s="213" t="s">
        <v>25</v>
      </c>
      <c r="C41" s="214"/>
      <c r="D41" s="34">
        <f>55*k</f>
        <v>28050</v>
      </c>
    </row>
    <row r="42" spans="1:4" ht="27.75" customHeight="1" thickBot="1">
      <c r="A42" s="52" t="s">
        <v>402</v>
      </c>
      <c r="B42" s="199" t="s">
        <v>403</v>
      </c>
      <c r="C42" s="200"/>
      <c r="D42" s="34">
        <f>1100*k</f>
        <v>561000</v>
      </c>
    </row>
    <row r="43" spans="1:3" ht="13.5" thickBot="1">
      <c r="A43" s="205" t="s">
        <v>274</v>
      </c>
      <c r="B43" s="206"/>
      <c r="C43" s="206"/>
    </row>
    <row r="44" spans="1:4" ht="16.5" thickBot="1">
      <c r="A44" s="160" t="s">
        <v>490</v>
      </c>
      <c r="B44" s="161"/>
      <c r="C44" s="161"/>
      <c r="D44" s="162"/>
    </row>
    <row r="45" spans="1:4" ht="13.5" thickBot="1">
      <c r="A45" s="52" t="s">
        <v>297</v>
      </c>
      <c r="B45" s="203" t="s">
        <v>475</v>
      </c>
      <c r="C45" s="204"/>
      <c r="D45" s="34">
        <f>115*k</f>
        <v>58650</v>
      </c>
    </row>
    <row r="46" spans="1:4" ht="13.5" thickBot="1">
      <c r="A46" s="52" t="s">
        <v>476</v>
      </c>
      <c r="B46" s="208" t="s">
        <v>477</v>
      </c>
      <c r="C46" s="208"/>
      <c r="D46" s="34">
        <f>20*k</f>
        <v>10200</v>
      </c>
    </row>
    <row r="47" spans="1:4" ht="12.75">
      <c r="A47" s="56" t="s">
        <v>51</v>
      </c>
      <c r="B47" s="209" t="s">
        <v>487</v>
      </c>
      <c r="C47" s="210"/>
      <c r="D47" s="24">
        <f>_xlfn.FLOOR.PRECISE(36*k,100)</f>
        <v>18300</v>
      </c>
    </row>
    <row r="48" spans="1:4" ht="12.75">
      <c r="A48" s="56" t="s">
        <v>52</v>
      </c>
      <c r="B48" s="211" t="s">
        <v>53</v>
      </c>
      <c r="C48" s="212"/>
      <c r="D48" s="24">
        <f>44*k</f>
        <v>22440</v>
      </c>
    </row>
    <row r="49" spans="1:4" ht="12.75">
      <c r="A49" s="56" t="s">
        <v>99</v>
      </c>
      <c r="B49" s="199" t="s">
        <v>102</v>
      </c>
      <c r="C49" s="212"/>
      <c r="D49" s="24">
        <f>96*k</f>
        <v>48960</v>
      </c>
    </row>
    <row r="50" spans="1:4" ht="12.75">
      <c r="A50" s="56" t="s">
        <v>100</v>
      </c>
      <c r="B50" s="211" t="s">
        <v>103</v>
      </c>
      <c r="C50" s="212"/>
      <c r="D50" s="24">
        <f>43*k</f>
        <v>21930</v>
      </c>
    </row>
    <row r="51" spans="1:4" ht="12.75">
      <c r="A51" s="56" t="s">
        <v>101</v>
      </c>
      <c r="B51" s="199" t="s">
        <v>104</v>
      </c>
      <c r="C51" s="212"/>
      <c r="D51" s="24">
        <f>13*k</f>
        <v>6630</v>
      </c>
    </row>
    <row r="52" spans="1:4" ht="12.75">
      <c r="A52" s="48" t="s">
        <v>59</v>
      </c>
      <c r="B52" s="211" t="s">
        <v>235</v>
      </c>
      <c r="C52" s="212"/>
      <c r="D52" s="34">
        <f>35*k</f>
        <v>17850</v>
      </c>
    </row>
    <row r="53" spans="1:4" ht="12.75">
      <c r="A53" s="12" t="s">
        <v>60</v>
      </c>
      <c r="B53" s="211" t="s">
        <v>234</v>
      </c>
      <c r="C53" s="212"/>
      <c r="D53" s="34">
        <f>10*k</f>
        <v>5100</v>
      </c>
    </row>
  </sheetData>
  <sheetProtection/>
  <mergeCells count="50">
    <mergeCell ref="B38:C38"/>
    <mergeCell ref="B27:C27"/>
    <mergeCell ref="B35:C35"/>
    <mergeCell ref="B26:C26"/>
    <mergeCell ref="A43:C43"/>
    <mergeCell ref="B42:C42"/>
    <mergeCell ref="B39:C39"/>
    <mergeCell ref="B40:C40"/>
    <mergeCell ref="B41:C41"/>
    <mergeCell ref="A29:D29"/>
    <mergeCell ref="B34:C34"/>
    <mergeCell ref="B37:C37"/>
    <mergeCell ref="B36:C36"/>
    <mergeCell ref="B32:C32"/>
    <mergeCell ref="A16:D16"/>
    <mergeCell ref="B28:C28"/>
    <mergeCell ref="B30:C30"/>
    <mergeCell ref="B17:C17"/>
    <mergeCell ref="B21:C21"/>
    <mergeCell ref="B20:C20"/>
    <mergeCell ref="B31:C31"/>
    <mergeCell ref="B19:C19"/>
    <mergeCell ref="B23:C23"/>
    <mergeCell ref="B25:C25"/>
    <mergeCell ref="B24:C24"/>
    <mergeCell ref="B10:C10"/>
    <mergeCell ref="B22:C22"/>
    <mergeCell ref="B12:C12"/>
    <mergeCell ref="B11:C11"/>
    <mergeCell ref="B18:C18"/>
    <mergeCell ref="A2:D2"/>
    <mergeCell ref="A1:D1"/>
    <mergeCell ref="B3:C3"/>
    <mergeCell ref="A4:D4"/>
    <mergeCell ref="A13:D13"/>
    <mergeCell ref="B5:C5"/>
    <mergeCell ref="B6:C6"/>
    <mergeCell ref="B7:C7"/>
    <mergeCell ref="B8:C8"/>
    <mergeCell ref="B9:C9"/>
    <mergeCell ref="B50:C50"/>
    <mergeCell ref="B51:C51"/>
    <mergeCell ref="B52:C52"/>
    <mergeCell ref="B53:C53"/>
    <mergeCell ref="A44:D44"/>
    <mergeCell ref="B45:C45"/>
    <mergeCell ref="B46:C46"/>
    <mergeCell ref="B47:C47"/>
    <mergeCell ref="B48:C48"/>
    <mergeCell ref="B49:C49"/>
  </mergeCells>
  <hyperlinks>
    <hyperlink ref="A2:D2" location="Оглавление!R1C1" display="Вернуться в Оглавление"/>
  </hyperlinks>
  <printOptions/>
  <pageMargins left="0.75" right="0.75" top="1" bottom="1" header="0.5" footer="0.5"/>
  <pageSetup horizontalDpi="600" verticalDpi="600" orientation="portrait" paperSize="9" scale="5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E26"/>
  <sheetViews>
    <sheetView zoomScale="114" zoomScaleNormal="114" zoomScaleSheetLayoutView="100" zoomScalePageLayoutView="0" workbookViewId="0" topLeftCell="A1">
      <selection activeCell="B30" sqref="B30"/>
    </sheetView>
  </sheetViews>
  <sheetFormatPr defaultColWidth="8.875" defaultRowHeight="12.75"/>
  <cols>
    <col min="1" max="1" width="18.375" style="0" customWidth="1"/>
    <col min="2" max="2" width="38.25390625" style="0" customWidth="1"/>
    <col min="3" max="3" width="63.125" style="0" customWidth="1"/>
    <col min="4" max="4" width="10.25390625" style="0" bestFit="1" customWidth="1"/>
  </cols>
  <sheetData>
    <row r="1" spans="1:4" ht="12.75">
      <c r="A1" s="227"/>
      <c r="B1" s="227"/>
      <c r="C1" s="227"/>
      <c r="D1" s="227"/>
    </row>
    <row r="2" spans="1:4" ht="16.5" thickBot="1">
      <c r="A2" s="155" t="s">
        <v>151</v>
      </c>
      <c r="B2" s="155"/>
      <c r="C2" s="155"/>
      <c r="D2" s="155"/>
    </row>
    <row r="3" spans="1:4" ht="20.25" customHeight="1" thickBot="1">
      <c r="A3" s="7" t="s">
        <v>0</v>
      </c>
      <c r="B3" s="234" t="s">
        <v>1</v>
      </c>
      <c r="C3" s="235"/>
      <c r="D3" s="8" t="s">
        <v>75</v>
      </c>
    </row>
    <row r="4" spans="1:4" ht="16.5" thickBot="1">
      <c r="A4" s="160" t="s">
        <v>237</v>
      </c>
      <c r="B4" s="161"/>
      <c r="C4" s="161"/>
      <c r="D4" s="162"/>
    </row>
    <row r="5" spans="1:4" ht="34.5" customHeight="1" thickBot="1">
      <c r="A5" s="56" t="s">
        <v>239</v>
      </c>
      <c r="B5" s="236" t="s">
        <v>240</v>
      </c>
      <c r="C5" s="237"/>
      <c r="D5" s="51">
        <f>699*k</f>
        <v>356490</v>
      </c>
    </row>
    <row r="6" spans="1:4" ht="16.5" thickBot="1">
      <c r="A6" s="160" t="s">
        <v>489</v>
      </c>
      <c r="B6" s="161"/>
      <c r="C6" s="161"/>
      <c r="D6" s="162"/>
    </row>
    <row r="7" spans="1:4" s="46" customFormat="1" ht="12.75">
      <c r="A7" s="57" t="s">
        <v>241</v>
      </c>
      <c r="B7" s="238" t="s">
        <v>242</v>
      </c>
      <c r="C7" s="239"/>
      <c r="D7" s="45">
        <f>52*k</f>
        <v>26520</v>
      </c>
    </row>
    <row r="8" spans="1:5" s="46" customFormat="1" ht="12.75">
      <c r="A8" s="26" t="s">
        <v>243</v>
      </c>
      <c r="B8" s="240" t="s">
        <v>244</v>
      </c>
      <c r="C8" s="241"/>
      <c r="D8" s="28">
        <f>39*k</f>
        <v>19890</v>
      </c>
      <c r="E8" s="58"/>
    </row>
    <row r="9" spans="1:4" s="46" customFormat="1" ht="12.75">
      <c r="A9" s="26" t="s">
        <v>245</v>
      </c>
      <c r="B9" s="131" t="s">
        <v>246</v>
      </c>
      <c r="C9" s="132"/>
      <c r="D9" s="28">
        <f>14*k</f>
        <v>7140</v>
      </c>
    </row>
    <row r="10" spans="1:4" s="46" customFormat="1" ht="12.75">
      <c r="A10" s="57" t="s">
        <v>317</v>
      </c>
      <c r="B10" s="63" t="s">
        <v>323</v>
      </c>
      <c r="C10" s="63"/>
      <c r="D10" s="45">
        <f>15*k</f>
        <v>7650</v>
      </c>
    </row>
    <row r="11" spans="1:4" s="46" customFormat="1" ht="12.75">
      <c r="A11" s="57" t="s">
        <v>318</v>
      </c>
      <c r="B11" s="63" t="s">
        <v>319</v>
      </c>
      <c r="C11" s="76"/>
      <c r="D11" s="45">
        <f>13*k</f>
        <v>6630</v>
      </c>
    </row>
    <row r="12" spans="1:4" s="46" customFormat="1" ht="13.5" customHeight="1">
      <c r="A12" s="57" t="s">
        <v>100</v>
      </c>
      <c r="B12" s="209" t="s">
        <v>103</v>
      </c>
      <c r="C12" s="210"/>
      <c r="D12" s="16">
        <f>43*k</f>
        <v>21930</v>
      </c>
    </row>
    <row r="13" spans="1:4" s="46" customFormat="1" ht="13.5" customHeight="1">
      <c r="A13" s="57" t="s">
        <v>248</v>
      </c>
      <c r="B13" s="209" t="s">
        <v>249</v>
      </c>
      <c r="C13" s="210"/>
      <c r="D13" s="16">
        <f>45*k</f>
        <v>22950</v>
      </c>
    </row>
    <row r="14" spans="1:4" s="46" customFormat="1" ht="12.75">
      <c r="A14" s="57" t="s">
        <v>101</v>
      </c>
      <c r="B14" s="77" t="s">
        <v>104</v>
      </c>
      <c r="C14" s="78"/>
      <c r="D14" s="16">
        <f>13*k</f>
        <v>6630</v>
      </c>
    </row>
    <row r="15" spans="1:4" s="46" customFormat="1" ht="13.5" thickBot="1">
      <c r="A15" s="79" t="s">
        <v>259</v>
      </c>
      <c r="B15" s="80" t="s">
        <v>260</v>
      </c>
      <c r="C15" s="81"/>
      <c r="D15" s="45">
        <f>12*k</f>
        <v>6120</v>
      </c>
    </row>
    <row r="16" spans="1:4" s="46" customFormat="1" ht="16.5" thickBot="1">
      <c r="A16" s="160" t="s">
        <v>326</v>
      </c>
      <c r="B16" s="161"/>
      <c r="C16" s="161" t="s">
        <v>320</v>
      </c>
      <c r="D16" s="162"/>
    </row>
    <row r="17" spans="1:4" s="46" customFormat="1" ht="12.75">
      <c r="A17" s="82" t="s">
        <v>321</v>
      </c>
      <c r="B17" s="83" t="s">
        <v>327</v>
      </c>
      <c r="C17" s="84"/>
      <c r="D17" s="85">
        <f>54*k</f>
        <v>27540</v>
      </c>
    </row>
    <row r="18" spans="1:4" s="46" customFormat="1" ht="12.75">
      <c r="A18" s="86"/>
      <c r="B18" s="83" t="s">
        <v>322</v>
      </c>
      <c r="C18" s="84"/>
      <c r="D18" s="87"/>
    </row>
    <row r="19" spans="1:4" s="46" customFormat="1" ht="12.75">
      <c r="A19" s="86"/>
      <c r="B19" s="83" t="s">
        <v>324</v>
      </c>
      <c r="C19" s="84"/>
      <c r="D19" s="88"/>
    </row>
    <row r="20" spans="1:4" s="46" customFormat="1" ht="13.5" thickBot="1">
      <c r="A20" s="89"/>
      <c r="B20" s="83" t="s">
        <v>325</v>
      </c>
      <c r="C20" s="84"/>
      <c r="D20" s="90"/>
    </row>
    <row r="21" spans="1:4" s="46" customFormat="1" ht="12.75">
      <c r="A21" s="91" t="s">
        <v>328</v>
      </c>
      <c r="B21" s="92" t="s">
        <v>329</v>
      </c>
      <c r="C21" s="81"/>
      <c r="D21" s="93">
        <f>41*k</f>
        <v>20910</v>
      </c>
    </row>
    <row r="22" spans="1:4" s="46" customFormat="1" ht="12.75">
      <c r="A22" s="88"/>
      <c r="B22" s="94" t="s">
        <v>322</v>
      </c>
      <c r="C22" s="95"/>
      <c r="D22" s="88"/>
    </row>
    <row r="23" spans="1:4" s="46" customFormat="1" ht="13.5" thickBot="1">
      <c r="A23" s="90"/>
      <c r="B23" s="96" t="s">
        <v>325</v>
      </c>
      <c r="C23" s="97"/>
      <c r="D23" s="90"/>
    </row>
    <row r="24" spans="1:4" s="46" customFormat="1" ht="16.5" thickBot="1">
      <c r="A24" s="160" t="s">
        <v>330</v>
      </c>
      <c r="B24" s="161"/>
      <c r="C24" s="161"/>
      <c r="D24" s="162"/>
    </row>
    <row r="25" spans="1:4" s="46" customFormat="1" ht="12.75">
      <c r="A25" s="98" t="s">
        <v>331</v>
      </c>
      <c r="B25" s="99" t="s">
        <v>332</v>
      </c>
      <c r="C25" s="100"/>
      <c r="D25" s="101">
        <f>99*k</f>
        <v>50490</v>
      </c>
    </row>
    <row r="26" ht="12.75">
      <c r="B26" s="64"/>
    </row>
  </sheetData>
  <sheetProtection/>
  <mergeCells count="12">
    <mergeCell ref="A24:D24"/>
    <mergeCell ref="B12:C12"/>
    <mergeCell ref="B13:C13"/>
    <mergeCell ref="A6:D6"/>
    <mergeCell ref="B7:C7"/>
    <mergeCell ref="B8:C8"/>
    <mergeCell ref="A1:D1"/>
    <mergeCell ref="A2:D2"/>
    <mergeCell ref="B3:C3"/>
    <mergeCell ref="A4:D4"/>
    <mergeCell ref="B5:C5"/>
    <mergeCell ref="A16:D16"/>
  </mergeCells>
  <hyperlinks>
    <hyperlink ref="A2:D2" location="Оглавление!R1C1" display="Вернуться в Оглавление"/>
  </hyperlinks>
  <printOptions/>
  <pageMargins left="0.75" right="0.75" top="1" bottom="1" header="0.5" footer="0.5"/>
  <pageSetup horizontalDpi="600" verticalDpi="600" orientation="portrait" paperSize="9" scale="5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E41"/>
  <sheetViews>
    <sheetView zoomScaleSheetLayoutView="100" zoomScalePageLayoutView="0" workbookViewId="0" topLeftCell="A1">
      <selection activeCell="A2" sqref="A2:D2"/>
    </sheetView>
  </sheetViews>
  <sheetFormatPr defaultColWidth="8.875" defaultRowHeight="12.75"/>
  <cols>
    <col min="1" max="1" width="18.375" style="0" customWidth="1"/>
    <col min="2" max="2" width="13.125" style="0" customWidth="1"/>
    <col min="3" max="3" width="67.25390625" style="0" customWidth="1"/>
    <col min="4" max="4" width="10.25390625" style="0" bestFit="1" customWidth="1"/>
  </cols>
  <sheetData>
    <row r="1" spans="1:4" ht="12.75">
      <c r="A1" s="227"/>
      <c r="B1" s="227"/>
      <c r="C1" s="227"/>
      <c r="D1" s="227"/>
    </row>
    <row r="2" spans="1:4" ht="16.5" thickBot="1">
      <c r="A2" s="155" t="s">
        <v>151</v>
      </c>
      <c r="B2" s="155"/>
      <c r="C2" s="155"/>
      <c r="D2" s="155"/>
    </row>
    <row r="3" spans="1:4" ht="20.25" customHeight="1" thickBot="1">
      <c r="A3" s="7" t="s">
        <v>0</v>
      </c>
      <c r="B3" s="234" t="s">
        <v>1</v>
      </c>
      <c r="C3" s="235"/>
      <c r="D3" s="8" t="s">
        <v>75</v>
      </c>
    </row>
    <row r="4" spans="1:4" ht="16.5" thickBot="1">
      <c r="A4" s="246" t="s">
        <v>229</v>
      </c>
      <c r="B4" s="247"/>
      <c r="C4" s="247"/>
      <c r="D4" s="248"/>
    </row>
    <row r="5" spans="1:4" ht="38.25" customHeight="1">
      <c r="A5" s="41" t="s">
        <v>179</v>
      </c>
      <c r="B5" s="249" t="s">
        <v>541</v>
      </c>
      <c r="C5" s="250"/>
      <c r="D5" s="43">
        <f>3995*k</f>
        <v>2037450</v>
      </c>
    </row>
    <row r="6" spans="1:4" ht="24.75" customHeight="1">
      <c r="A6" s="42" t="s">
        <v>180</v>
      </c>
      <c r="B6" s="199" t="s">
        <v>226</v>
      </c>
      <c r="C6" s="200"/>
      <c r="D6" s="34">
        <f>4445*k</f>
        <v>2266950</v>
      </c>
    </row>
    <row r="7" spans="1:4" ht="25.5" customHeight="1">
      <c r="A7" s="42" t="s">
        <v>227</v>
      </c>
      <c r="B7" s="199" t="s">
        <v>182</v>
      </c>
      <c r="C7" s="200"/>
      <c r="D7" s="34">
        <f>4740*k</f>
        <v>2417400</v>
      </c>
    </row>
    <row r="8" spans="1:4" ht="25.5" customHeight="1">
      <c r="A8" s="42" t="s">
        <v>181</v>
      </c>
      <c r="B8" s="199" t="s">
        <v>183</v>
      </c>
      <c r="C8" s="200"/>
      <c r="D8" s="34">
        <f>4540*k</f>
        <v>2315400</v>
      </c>
    </row>
    <row r="9" spans="1:4" ht="39" customHeight="1" thickBot="1">
      <c r="A9" s="42" t="s">
        <v>228</v>
      </c>
      <c r="B9" s="199" t="s">
        <v>184</v>
      </c>
      <c r="C9" s="200"/>
      <c r="D9" s="34">
        <f>5290*k</f>
        <v>2697900</v>
      </c>
    </row>
    <row r="10" spans="1:4" ht="16.5" thickBot="1">
      <c r="A10" s="160" t="s">
        <v>185</v>
      </c>
      <c r="B10" s="161"/>
      <c r="C10" s="161"/>
      <c r="D10" s="162"/>
    </row>
    <row r="11" spans="1:4" s="46" customFormat="1" ht="12.75">
      <c r="A11" s="42" t="s">
        <v>186</v>
      </c>
      <c r="B11" s="54" t="s">
        <v>190</v>
      </c>
      <c r="C11" s="44" t="s">
        <v>230</v>
      </c>
      <c r="D11" s="53">
        <f>46*k</f>
        <v>23460</v>
      </c>
    </row>
    <row r="12" spans="1:5" ht="12.75">
      <c r="A12" s="42" t="s">
        <v>187</v>
      </c>
      <c r="B12" s="55" t="s">
        <v>189</v>
      </c>
      <c r="C12" s="2" t="s">
        <v>231</v>
      </c>
      <c r="D12" s="49">
        <f>139*k</f>
        <v>70890</v>
      </c>
      <c r="E12" s="18"/>
    </row>
    <row r="13" spans="1:4" ht="24">
      <c r="A13" s="42" t="s">
        <v>188</v>
      </c>
      <c r="B13" s="55" t="s">
        <v>191</v>
      </c>
      <c r="C13" s="3" t="s">
        <v>232</v>
      </c>
      <c r="D13" s="49">
        <f>131*k</f>
        <v>66810</v>
      </c>
    </row>
    <row r="14" spans="1:4" ht="12.75">
      <c r="A14" s="42" t="s">
        <v>282</v>
      </c>
      <c r="B14" s="55"/>
      <c r="C14" s="3" t="s">
        <v>279</v>
      </c>
      <c r="D14" s="49">
        <f>210*k</f>
        <v>107100</v>
      </c>
    </row>
    <row r="15" spans="1:4" ht="42" customHeight="1">
      <c r="A15" s="42" t="s">
        <v>283</v>
      </c>
      <c r="B15" s="55" t="s">
        <v>284</v>
      </c>
      <c r="C15" s="3" t="s">
        <v>285</v>
      </c>
      <c r="D15" s="49">
        <f>175*k</f>
        <v>89250</v>
      </c>
    </row>
    <row r="16" spans="1:4" ht="42" customHeight="1">
      <c r="A16" s="42" t="s">
        <v>286</v>
      </c>
      <c r="B16" s="55" t="s">
        <v>288</v>
      </c>
      <c r="C16" s="3" t="s">
        <v>289</v>
      </c>
      <c r="D16" s="49">
        <f>220*k</f>
        <v>112200</v>
      </c>
    </row>
    <row r="17" spans="1:4" ht="65.25" customHeight="1">
      <c r="A17" s="42" t="s">
        <v>287</v>
      </c>
      <c r="B17" s="55" t="s">
        <v>290</v>
      </c>
      <c r="C17" s="33" t="s">
        <v>542</v>
      </c>
      <c r="D17" s="49">
        <f>160*k</f>
        <v>81600</v>
      </c>
    </row>
    <row r="18" spans="1:4" ht="13.5" thickBot="1">
      <c r="A18" s="42" t="s">
        <v>282</v>
      </c>
      <c r="B18" s="55"/>
      <c r="C18" s="3" t="s">
        <v>279</v>
      </c>
      <c r="D18" s="49">
        <f>210*k</f>
        <v>107100</v>
      </c>
    </row>
    <row r="19" spans="1:4" ht="16.5" thickBot="1">
      <c r="A19" s="160" t="s">
        <v>525</v>
      </c>
      <c r="B19" s="223"/>
      <c r="C19" s="223"/>
      <c r="D19" s="224"/>
    </row>
    <row r="20" spans="1:4" ht="13.5" customHeight="1">
      <c r="A20" s="42" t="s">
        <v>303</v>
      </c>
      <c r="B20" s="199" t="s">
        <v>469</v>
      </c>
      <c r="C20" s="200"/>
      <c r="D20" s="49">
        <f>140*k</f>
        <v>71400</v>
      </c>
    </row>
    <row r="21" spans="1:4" ht="12.75" customHeight="1">
      <c r="A21" s="42" t="s">
        <v>304</v>
      </c>
      <c r="B21" s="199" t="s">
        <v>465</v>
      </c>
      <c r="C21" s="200"/>
      <c r="D21" s="49">
        <f>200*k</f>
        <v>102000</v>
      </c>
    </row>
    <row r="22" spans="1:4" ht="12.75" customHeight="1">
      <c r="A22" s="42" t="s">
        <v>305</v>
      </c>
      <c r="B22" s="199" t="s">
        <v>464</v>
      </c>
      <c r="C22" s="200"/>
      <c r="D22" s="49">
        <f>220*k</f>
        <v>112200</v>
      </c>
    </row>
    <row r="23" spans="1:4" ht="12.75" customHeight="1">
      <c r="A23" s="42" t="s">
        <v>306</v>
      </c>
      <c r="B23" s="199" t="s">
        <v>470</v>
      </c>
      <c r="C23" s="200"/>
      <c r="D23" s="49">
        <f>105*k</f>
        <v>53550</v>
      </c>
    </row>
    <row r="24" spans="1:4" ht="12.75" customHeight="1">
      <c r="A24" s="42" t="s">
        <v>526</v>
      </c>
      <c r="B24" s="199" t="s">
        <v>466</v>
      </c>
      <c r="C24" s="200"/>
      <c r="D24" s="49">
        <f>110*k</f>
        <v>56100</v>
      </c>
    </row>
    <row r="25" spans="1:4" ht="12.75" customHeight="1">
      <c r="A25" s="42" t="s">
        <v>308</v>
      </c>
      <c r="B25" s="199" t="s">
        <v>467</v>
      </c>
      <c r="C25" s="200"/>
      <c r="D25" s="49">
        <f>150*k</f>
        <v>76500</v>
      </c>
    </row>
    <row r="26" spans="1:4" ht="12.75">
      <c r="A26" s="42" t="s">
        <v>527</v>
      </c>
      <c r="B26" s="199" t="s">
        <v>533</v>
      </c>
      <c r="C26" s="200"/>
      <c r="D26" s="49">
        <f>120*k</f>
        <v>61200</v>
      </c>
    </row>
    <row r="27" spans="1:4" ht="24.75" customHeight="1">
      <c r="A27" s="42" t="s">
        <v>528</v>
      </c>
      <c r="B27" s="199" t="s">
        <v>534</v>
      </c>
      <c r="C27" s="200"/>
      <c r="D27" s="49">
        <f>130*k</f>
        <v>66300</v>
      </c>
    </row>
    <row r="28" spans="1:4" ht="12.75">
      <c r="A28" s="42" t="s">
        <v>529</v>
      </c>
      <c r="B28" s="199" t="s">
        <v>468</v>
      </c>
      <c r="C28" s="200"/>
      <c r="D28" s="49">
        <f>160*k</f>
        <v>81600</v>
      </c>
    </row>
    <row r="29" spans="1:4" ht="24" customHeight="1">
      <c r="A29" s="42" t="s">
        <v>530</v>
      </c>
      <c r="B29" s="199" t="s">
        <v>535</v>
      </c>
      <c r="C29" s="200"/>
      <c r="D29" s="49">
        <f>130*k</f>
        <v>66300</v>
      </c>
    </row>
    <row r="30" spans="1:4" ht="35.25" customHeight="1">
      <c r="A30" s="42" t="s">
        <v>531</v>
      </c>
      <c r="B30" s="199" t="s">
        <v>536</v>
      </c>
      <c r="C30" s="200"/>
      <c r="D30" s="49">
        <f>130*k</f>
        <v>66300</v>
      </c>
    </row>
    <row r="31" spans="1:4" ht="29.25" customHeight="1" thickBot="1">
      <c r="A31" s="42" t="s">
        <v>532</v>
      </c>
      <c r="B31" s="199" t="s">
        <v>538</v>
      </c>
      <c r="C31" s="200"/>
      <c r="D31" s="49">
        <f>130*k</f>
        <v>66300</v>
      </c>
    </row>
    <row r="32" spans="1:4" ht="16.5" thickBot="1">
      <c r="A32" s="160" t="s">
        <v>492</v>
      </c>
      <c r="B32" s="223"/>
      <c r="C32" s="223"/>
      <c r="D32" s="224"/>
    </row>
    <row r="33" spans="1:4" ht="13.5" thickBot="1">
      <c r="A33" s="42" t="s">
        <v>192</v>
      </c>
      <c r="B33" s="251" t="s">
        <v>507</v>
      </c>
      <c r="C33" s="243"/>
      <c r="D33" s="34">
        <f>40*k</f>
        <v>20400</v>
      </c>
    </row>
    <row r="34" spans="1:4" ht="12.75" customHeight="1">
      <c r="A34" s="42" t="s">
        <v>296</v>
      </c>
      <c r="B34" s="242" t="s">
        <v>506</v>
      </c>
      <c r="C34" s="243"/>
      <c r="D34" s="34">
        <f>6*k</f>
        <v>3060</v>
      </c>
    </row>
    <row r="35" spans="1:4" ht="27" customHeight="1">
      <c r="A35" s="42" t="s">
        <v>59</v>
      </c>
      <c r="B35" s="199" t="s">
        <v>235</v>
      </c>
      <c r="C35" s="200"/>
      <c r="D35" s="34">
        <f>35*k</f>
        <v>17850</v>
      </c>
    </row>
    <row r="36" spans="1:4" ht="24.75" customHeight="1">
      <c r="A36" s="42" t="s">
        <v>60</v>
      </c>
      <c r="B36" s="199" t="s">
        <v>234</v>
      </c>
      <c r="C36" s="200"/>
      <c r="D36" s="34">
        <f>10*k</f>
        <v>5100</v>
      </c>
    </row>
    <row r="37" spans="1:4" ht="13.5" thickBot="1">
      <c r="A37" s="42" t="s">
        <v>97</v>
      </c>
      <c r="B37" s="199" t="s">
        <v>508</v>
      </c>
      <c r="C37" s="212"/>
      <c r="D37" s="34">
        <f>24*k</f>
        <v>12240</v>
      </c>
    </row>
    <row r="38" spans="1:4" ht="16.5" thickBot="1">
      <c r="A38" s="160" t="s">
        <v>291</v>
      </c>
      <c r="B38" s="223"/>
      <c r="C38" s="223"/>
      <c r="D38" s="224"/>
    </row>
    <row r="39" spans="1:4" ht="20.25" customHeight="1">
      <c r="A39" s="42" t="s">
        <v>539</v>
      </c>
      <c r="B39" s="244" t="s">
        <v>540</v>
      </c>
      <c r="C39" s="245"/>
      <c r="D39" s="113">
        <f>1850*k</f>
        <v>943500</v>
      </c>
    </row>
    <row r="40" spans="1:4" ht="43.5" customHeight="1">
      <c r="A40" s="42" t="s">
        <v>293</v>
      </c>
      <c r="B40" s="199" t="s">
        <v>295</v>
      </c>
      <c r="C40" s="212"/>
      <c r="D40" s="34">
        <f>745*k</f>
        <v>379950</v>
      </c>
    </row>
    <row r="41" spans="1:4" ht="40.5" customHeight="1">
      <c r="A41" s="42" t="s">
        <v>292</v>
      </c>
      <c r="B41" s="199" t="s">
        <v>294</v>
      </c>
      <c r="C41" s="212"/>
      <c r="D41" s="34">
        <f>745*k</f>
        <v>379950</v>
      </c>
    </row>
  </sheetData>
  <sheetProtection/>
  <mergeCells count="33">
    <mergeCell ref="B8:C8"/>
    <mergeCell ref="B37:C37"/>
    <mergeCell ref="B41:C41"/>
    <mergeCell ref="B6:C6"/>
    <mergeCell ref="B33:C33"/>
    <mergeCell ref="B35:C35"/>
    <mergeCell ref="B36:C36"/>
    <mergeCell ref="B24:C24"/>
    <mergeCell ref="B25:C25"/>
    <mergeCell ref="B26:C26"/>
    <mergeCell ref="A1:D1"/>
    <mergeCell ref="A2:D2"/>
    <mergeCell ref="B3:C3"/>
    <mergeCell ref="A4:D4"/>
    <mergeCell ref="B5:C5"/>
    <mergeCell ref="B7:C7"/>
    <mergeCell ref="B40:C40"/>
    <mergeCell ref="B34:C34"/>
    <mergeCell ref="B22:C22"/>
    <mergeCell ref="B29:C29"/>
    <mergeCell ref="B30:C30"/>
    <mergeCell ref="B39:C39"/>
    <mergeCell ref="A32:D32"/>
    <mergeCell ref="B28:C28"/>
    <mergeCell ref="B27:C27"/>
    <mergeCell ref="B31:C31"/>
    <mergeCell ref="B23:C23"/>
    <mergeCell ref="A38:D38"/>
    <mergeCell ref="B9:C9"/>
    <mergeCell ref="A10:D10"/>
    <mergeCell ref="A19:D19"/>
    <mergeCell ref="B20:C20"/>
    <mergeCell ref="B21:C21"/>
  </mergeCells>
  <hyperlinks>
    <hyperlink ref="A2:D2" location="Оглавление!R1C1" display="Вернуться в Оглавление"/>
  </hyperlinks>
  <printOptions/>
  <pageMargins left="0.75" right="0.75" top="1" bottom="1" header="0.5" footer="0.5"/>
  <pageSetup horizontalDpi="600" verticalDpi="600" orientation="portrait" paperSize="9" scale="7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D37"/>
  <sheetViews>
    <sheetView zoomScalePageLayoutView="0" workbookViewId="0" topLeftCell="A1">
      <selection activeCell="D14" sqref="D14"/>
    </sheetView>
  </sheetViews>
  <sheetFormatPr defaultColWidth="8.875" defaultRowHeight="12.75"/>
  <cols>
    <col min="1" max="1" width="18.25390625" style="0" customWidth="1"/>
    <col min="2" max="2" width="29.375" style="0" customWidth="1"/>
    <col min="3" max="3" width="63.75390625" style="0" customWidth="1"/>
    <col min="4" max="4" width="29.25390625" style="0" customWidth="1"/>
  </cols>
  <sheetData>
    <row r="1" spans="1:4" ht="15" thickBot="1">
      <c r="A1" s="7" t="s">
        <v>0</v>
      </c>
      <c r="B1" s="234" t="s">
        <v>1</v>
      </c>
      <c r="C1" s="235"/>
      <c r="D1" s="8" t="s">
        <v>75</v>
      </c>
    </row>
    <row r="2" spans="1:4" ht="16.5" thickBot="1">
      <c r="A2" s="246" t="s">
        <v>415</v>
      </c>
      <c r="B2" s="247"/>
      <c r="C2" s="247"/>
      <c r="D2" s="248"/>
    </row>
    <row r="3" spans="1:4" s="46" customFormat="1" ht="67.5" customHeight="1">
      <c r="A3" s="61" t="s">
        <v>509</v>
      </c>
      <c r="B3" s="252" t="s">
        <v>510</v>
      </c>
      <c r="C3" s="226"/>
      <c r="D3" s="51">
        <f>590*k</f>
        <v>300900</v>
      </c>
    </row>
    <row r="4" spans="1:4" ht="85.5" customHeight="1" thickBot="1">
      <c r="A4" s="61" t="s">
        <v>511</v>
      </c>
      <c r="B4" s="253" t="s">
        <v>512</v>
      </c>
      <c r="C4" s="200"/>
      <c r="D4" s="34">
        <f>1190*k</f>
        <v>606900</v>
      </c>
    </row>
    <row r="5" spans="1:4" ht="16.5" thickBot="1">
      <c r="A5" s="160" t="s">
        <v>185</v>
      </c>
      <c r="B5" s="161"/>
      <c r="C5" s="161"/>
      <c r="D5" s="162"/>
    </row>
    <row r="6" spans="1:4" ht="12.75">
      <c r="A6" s="42" t="s">
        <v>418</v>
      </c>
      <c r="B6" s="54" t="s">
        <v>420</v>
      </c>
      <c r="C6" s="44" t="s">
        <v>419</v>
      </c>
      <c r="D6" s="53">
        <f>19*k</f>
        <v>9690</v>
      </c>
    </row>
    <row r="7" spans="1:4" ht="12.75">
      <c r="A7" s="42" t="s">
        <v>12</v>
      </c>
      <c r="B7" s="55" t="s">
        <v>422</v>
      </c>
      <c r="C7" s="2" t="s">
        <v>421</v>
      </c>
      <c r="D7" s="49">
        <f>33*k</f>
        <v>16830</v>
      </c>
    </row>
    <row r="8" spans="1:4" ht="16.5" customHeight="1">
      <c r="A8" s="42" t="s">
        <v>423</v>
      </c>
      <c r="B8" s="54" t="s">
        <v>420</v>
      </c>
      <c r="C8" s="33" t="s">
        <v>424</v>
      </c>
      <c r="D8" s="49">
        <f>14*k</f>
        <v>7140</v>
      </c>
    </row>
    <row r="9" spans="1:4" ht="15" customHeight="1">
      <c r="A9" s="42" t="s">
        <v>175</v>
      </c>
      <c r="B9" s="55" t="s">
        <v>422</v>
      </c>
      <c r="C9" s="3" t="s">
        <v>425</v>
      </c>
      <c r="D9" s="49">
        <f>25*k</f>
        <v>12750</v>
      </c>
    </row>
    <row r="10" spans="1:4" ht="15" customHeight="1">
      <c r="A10" s="42" t="s">
        <v>9</v>
      </c>
      <c r="B10" s="55" t="s">
        <v>422</v>
      </c>
      <c r="C10" s="3" t="s">
        <v>426</v>
      </c>
      <c r="D10" s="49">
        <f>35*k</f>
        <v>17850</v>
      </c>
    </row>
    <row r="11" spans="1:4" ht="15" customHeight="1">
      <c r="A11" s="42" t="s">
        <v>10</v>
      </c>
      <c r="B11" s="55" t="s">
        <v>422</v>
      </c>
      <c r="C11" s="3" t="s">
        <v>427</v>
      </c>
      <c r="D11" s="49">
        <f>35*k</f>
        <v>17850</v>
      </c>
    </row>
    <row r="12" spans="1:4" ht="15" customHeight="1">
      <c r="A12" s="42" t="s">
        <v>11</v>
      </c>
      <c r="B12" s="55" t="s">
        <v>422</v>
      </c>
      <c r="C12" s="3" t="s">
        <v>428</v>
      </c>
      <c r="D12" s="49">
        <f>35*k</f>
        <v>17850</v>
      </c>
    </row>
    <row r="13" spans="1:4" ht="15" customHeight="1">
      <c r="A13" s="42" t="s">
        <v>13</v>
      </c>
      <c r="B13" s="55" t="s">
        <v>422</v>
      </c>
      <c r="C13" s="3" t="s">
        <v>429</v>
      </c>
      <c r="D13" s="49">
        <f>70*k</f>
        <v>35700</v>
      </c>
    </row>
    <row r="14" spans="1:4" ht="15" customHeight="1">
      <c r="A14" s="42" t="s">
        <v>14</v>
      </c>
      <c r="B14" s="55" t="s">
        <v>422</v>
      </c>
      <c r="C14" s="3" t="s">
        <v>430</v>
      </c>
      <c r="D14" s="49">
        <f>70*k</f>
        <v>35700</v>
      </c>
    </row>
    <row r="15" spans="1:4" ht="15" customHeight="1">
      <c r="A15" s="42" t="s">
        <v>19</v>
      </c>
      <c r="B15" s="55" t="s">
        <v>422</v>
      </c>
      <c r="C15" s="3" t="s">
        <v>431</v>
      </c>
      <c r="D15" s="49">
        <f>72*k</f>
        <v>36720</v>
      </c>
    </row>
    <row r="16" spans="1:4" ht="15" customHeight="1">
      <c r="A16" s="42" t="s">
        <v>7</v>
      </c>
      <c r="B16" s="55" t="s">
        <v>422</v>
      </c>
      <c r="C16" s="3" t="s">
        <v>432</v>
      </c>
      <c r="D16" s="49">
        <f>74*k</f>
        <v>37740</v>
      </c>
    </row>
    <row r="17" spans="1:4" ht="15" customHeight="1">
      <c r="A17" s="42" t="s">
        <v>106</v>
      </c>
      <c r="B17" s="55" t="s">
        <v>422</v>
      </c>
      <c r="C17" s="3" t="s">
        <v>433</v>
      </c>
      <c r="D17" s="49">
        <f>66*k</f>
        <v>33660</v>
      </c>
    </row>
    <row r="18" spans="1:4" ht="15" customHeight="1">
      <c r="A18" s="42" t="s">
        <v>105</v>
      </c>
      <c r="B18" s="55" t="s">
        <v>422</v>
      </c>
      <c r="C18" s="3" t="s">
        <v>435</v>
      </c>
      <c r="D18" s="49">
        <f>87*k</f>
        <v>44370</v>
      </c>
    </row>
    <row r="19" spans="1:4" ht="15" customHeight="1" thickBot="1">
      <c r="A19" s="42" t="s">
        <v>76</v>
      </c>
      <c r="B19" s="55" t="s">
        <v>434</v>
      </c>
      <c r="C19" s="3" t="s">
        <v>436</v>
      </c>
      <c r="D19" s="49">
        <f>75*k</f>
        <v>38250</v>
      </c>
    </row>
    <row r="20" spans="1:4" ht="16.5" thickBot="1">
      <c r="A20" s="246" t="s">
        <v>437</v>
      </c>
      <c r="B20" s="247"/>
      <c r="C20" s="247"/>
      <c r="D20" s="248"/>
    </row>
    <row r="21" spans="1:4" ht="12.75" customHeight="1">
      <c r="A21" s="61" t="s">
        <v>107</v>
      </c>
      <c r="B21" s="55" t="s">
        <v>442</v>
      </c>
      <c r="C21" s="3"/>
      <c r="D21" s="34">
        <f>90*k</f>
        <v>45900</v>
      </c>
    </row>
    <row r="22" spans="1:4" ht="12.75">
      <c r="A22" s="61" t="s">
        <v>438</v>
      </c>
      <c r="B22" s="253" t="s">
        <v>443</v>
      </c>
      <c r="C22" s="200"/>
      <c r="D22" s="34">
        <f>125*k</f>
        <v>63750</v>
      </c>
    </row>
    <row r="23" spans="1:4" ht="12.75">
      <c r="A23" s="12" t="s">
        <v>439</v>
      </c>
      <c r="B23" s="253" t="s">
        <v>444</v>
      </c>
      <c r="C23" s="200"/>
      <c r="D23" s="34">
        <f>150*k</f>
        <v>76500</v>
      </c>
    </row>
    <row r="24" spans="1:4" ht="12.75" customHeight="1">
      <c r="A24" s="61" t="s">
        <v>81</v>
      </c>
      <c r="B24" s="253" t="s">
        <v>445</v>
      </c>
      <c r="C24" s="200"/>
      <c r="D24" s="34">
        <f>68*k</f>
        <v>34680</v>
      </c>
    </row>
    <row r="25" spans="1:4" ht="12.75" customHeight="1">
      <c r="A25" s="61" t="s">
        <v>513</v>
      </c>
      <c r="B25" s="253" t="s">
        <v>514</v>
      </c>
      <c r="C25" s="200"/>
      <c r="D25" s="34">
        <f>22*k</f>
        <v>11220</v>
      </c>
    </row>
    <row r="26" spans="1:4" ht="12.75" customHeight="1">
      <c r="A26" s="61" t="s">
        <v>515</v>
      </c>
      <c r="B26" s="253" t="s">
        <v>516</v>
      </c>
      <c r="C26" s="200"/>
      <c r="D26" s="34">
        <f>22*k</f>
        <v>11220</v>
      </c>
    </row>
    <row r="27" spans="1:4" ht="12.75">
      <c r="A27" s="61" t="s">
        <v>440</v>
      </c>
      <c r="B27" s="253" t="s">
        <v>446</v>
      </c>
      <c r="C27" s="200"/>
      <c r="D27" s="34">
        <f>20*k</f>
        <v>10200</v>
      </c>
    </row>
    <row r="28" spans="1:4" ht="13.5" thickBot="1">
      <c r="A28" s="12" t="s">
        <v>441</v>
      </c>
      <c r="B28" s="253" t="s">
        <v>447</v>
      </c>
      <c r="C28" s="200"/>
      <c r="D28" s="34">
        <f>22*k</f>
        <v>11220</v>
      </c>
    </row>
    <row r="29" spans="1:4" ht="16.5" thickBot="1">
      <c r="A29" s="160" t="s">
        <v>503</v>
      </c>
      <c r="B29" s="161"/>
      <c r="C29" s="161"/>
      <c r="D29" s="162"/>
    </row>
    <row r="30" spans="1:4" ht="12.75">
      <c r="A30" s="56" t="s">
        <v>51</v>
      </c>
      <c r="B30" s="209" t="s">
        <v>487</v>
      </c>
      <c r="C30" s="210"/>
      <c r="D30" s="24">
        <f>_xlfn.FLOOR.PRECISE(36*k,100)</f>
        <v>18300</v>
      </c>
    </row>
    <row r="31" spans="1:4" ht="12.75">
      <c r="A31" s="56" t="s">
        <v>52</v>
      </c>
      <c r="B31" s="211" t="s">
        <v>53</v>
      </c>
      <c r="C31" s="212"/>
      <c r="D31" s="24">
        <f>44*k</f>
        <v>22440</v>
      </c>
    </row>
    <row r="32" spans="1:4" ht="12.75">
      <c r="A32" s="56" t="s">
        <v>99</v>
      </c>
      <c r="B32" s="199" t="s">
        <v>102</v>
      </c>
      <c r="C32" s="212"/>
      <c r="D32" s="24">
        <f>96*k</f>
        <v>48960</v>
      </c>
    </row>
    <row r="33" spans="1:4" ht="12.75">
      <c r="A33" s="56" t="s">
        <v>100</v>
      </c>
      <c r="B33" s="211" t="s">
        <v>103</v>
      </c>
      <c r="C33" s="212"/>
      <c r="D33" s="24">
        <f>43*k</f>
        <v>21930</v>
      </c>
    </row>
    <row r="34" spans="1:4" ht="12.75">
      <c r="A34" s="56" t="s">
        <v>101</v>
      </c>
      <c r="B34" s="199" t="s">
        <v>104</v>
      </c>
      <c r="C34" s="212"/>
      <c r="D34" s="24">
        <f>13*k</f>
        <v>6630</v>
      </c>
    </row>
    <row r="35" spans="1:4" ht="12.75">
      <c r="A35" s="4" t="s">
        <v>259</v>
      </c>
      <c r="B35" s="199" t="s">
        <v>260</v>
      </c>
      <c r="C35" s="212"/>
      <c r="D35" s="24">
        <f>12*k</f>
        <v>6120</v>
      </c>
    </row>
    <row r="36" spans="1:4" ht="12.75">
      <c r="A36" s="48" t="s">
        <v>59</v>
      </c>
      <c r="B36" s="211" t="s">
        <v>235</v>
      </c>
      <c r="C36" s="212"/>
      <c r="D36" s="34">
        <f>35*k</f>
        <v>17850</v>
      </c>
    </row>
    <row r="37" spans="1:4" ht="12.75">
      <c r="A37" s="12" t="s">
        <v>60</v>
      </c>
      <c r="B37" s="211" t="s">
        <v>234</v>
      </c>
      <c r="C37" s="212"/>
      <c r="D37" s="34">
        <f>10*k</f>
        <v>5100</v>
      </c>
    </row>
  </sheetData>
  <sheetProtection/>
  <mergeCells count="22">
    <mergeCell ref="B37:C37"/>
    <mergeCell ref="B25:C25"/>
    <mergeCell ref="B26:C26"/>
    <mergeCell ref="A29:D29"/>
    <mergeCell ref="B30:C30"/>
    <mergeCell ref="B31:C31"/>
    <mergeCell ref="B32:C32"/>
    <mergeCell ref="B33:C33"/>
    <mergeCell ref="B35:C35"/>
    <mergeCell ref="B34:C34"/>
    <mergeCell ref="B22:C22"/>
    <mergeCell ref="B23:C23"/>
    <mergeCell ref="B36:C36"/>
    <mergeCell ref="B24:C24"/>
    <mergeCell ref="B27:C27"/>
    <mergeCell ref="B28:C28"/>
    <mergeCell ref="B1:C1"/>
    <mergeCell ref="A2:D2"/>
    <mergeCell ref="B3:C3"/>
    <mergeCell ref="B4:C4"/>
    <mergeCell ref="A5:D5"/>
    <mergeCell ref="A20:D20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D37"/>
  <sheetViews>
    <sheetView zoomScale="115" zoomScaleNormal="115" zoomScalePageLayoutView="0" workbookViewId="0" topLeftCell="A1">
      <selection activeCell="B4" sqref="B4:C4"/>
    </sheetView>
  </sheetViews>
  <sheetFormatPr defaultColWidth="8.875" defaultRowHeight="12.75"/>
  <cols>
    <col min="1" max="1" width="18.25390625" style="0" customWidth="1"/>
    <col min="2" max="2" width="29.375" style="0" customWidth="1"/>
    <col min="3" max="3" width="63.75390625" style="0" customWidth="1"/>
    <col min="4" max="4" width="29.25390625" style="0" customWidth="1"/>
  </cols>
  <sheetData>
    <row r="1" spans="1:4" ht="16.5" thickBot="1">
      <c r="A1" s="155" t="s">
        <v>151</v>
      </c>
      <c r="B1" s="155"/>
      <c r="C1" s="155"/>
      <c r="D1" s="155"/>
    </row>
    <row r="2" spans="1:4" ht="15" thickBot="1">
      <c r="A2" s="146" t="s">
        <v>0</v>
      </c>
      <c r="B2" s="254" t="s">
        <v>1</v>
      </c>
      <c r="C2" s="255"/>
      <c r="D2" s="147" t="s">
        <v>75</v>
      </c>
    </row>
    <row r="3" spans="1:4" ht="16.5" thickBot="1">
      <c r="A3" s="246" t="s">
        <v>415</v>
      </c>
      <c r="B3" s="247"/>
      <c r="C3" s="247"/>
      <c r="D3" s="248"/>
    </row>
    <row r="4" spans="1:4" s="46" customFormat="1" ht="138" customHeight="1">
      <c r="A4" s="61" t="s">
        <v>414</v>
      </c>
      <c r="B4" s="256" t="s">
        <v>697</v>
      </c>
      <c r="C4" s="257"/>
      <c r="D4" s="51">
        <f>590*k</f>
        <v>300900</v>
      </c>
    </row>
    <row r="5" spans="1:4" ht="138" customHeight="1">
      <c r="A5" s="61" t="s">
        <v>416</v>
      </c>
      <c r="B5" s="244" t="s">
        <v>696</v>
      </c>
      <c r="C5" s="245"/>
      <c r="D5" s="34">
        <f>1190*k</f>
        <v>606900</v>
      </c>
    </row>
    <row r="6" spans="1:4" ht="138" customHeight="1" thickBot="1">
      <c r="A6" s="12" t="s">
        <v>417</v>
      </c>
      <c r="B6" s="244" t="s">
        <v>695</v>
      </c>
      <c r="C6" s="245"/>
      <c r="D6" s="34">
        <f>1790*k</f>
        <v>912900</v>
      </c>
    </row>
    <row r="7" spans="1:4" ht="16.5" thickBot="1">
      <c r="A7" s="160" t="s">
        <v>185</v>
      </c>
      <c r="B7" s="161"/>
      <c r="C7" s="161"/>
      <c r="D7" s="162"/>
    </row>
    <row r="8" spans="1:4" ht="12.75">
      <c r="A8" s="42" t="s">
        <v>418</v>
      </c>
      <c r="B8" s="54" t="s">
        <v>420</v>
      </c>
      <c r="C8" s="44" t="s">
        <v>419</v>
      </c>
      <c r="D8" s="53">
        <f>19*k</f>
        <v>9690</v>
      </c>
    </row>
    <row r="9" spans="1:4" ht="12.75">
      <c r="A9" s="42" t="s">
        <v>12</v>
      </c>
      <c r="B9" s="55" t="s">
        <v>422</v>
      </c>
      <c r="C9" s="2" t="s">
        <v>421</v>
      </c>
      <c r="D9" s="49">
        <f>33*k</f>
        <v>16830</v>
      </c>
    </row>
    <row r="10" spans="1:4" ht="16.5" customHeight="1">
      <c r="A10" s="42" t="s">
        <v>423</v>
      </c>
      <c r="B10" s="54" t="s">
        <v>420</v>
      </c>
      <c r="C10" s="33" t="s">
        <v>424</v>
      </c>
      <c r="D10" s="49">
        <f>14*k</f>
        <v>7140</v>
      </c>
    </row>
    <row r="11" spans="1:4" ht="15" customHeight="1">
      <c r="A11" s="42" t="s">
        <v>175</v>
      </c>
      <c r="B11" s="55" t="s">
        <v>422</v>
      </c>
      <c r="C11" s="3" t="s">
        <v>425</v>
      </c>
      <c r="D11" s="49">
        <f>25*k</f>
        <v>12750</v>
      </c>
    </row>
    <row r="12" spans="1:4" ht="15" customHeight="1">
      <c r="A12" s="42" t="s">
        <v>9</v>
      </c>
      <c r="B12" s="55" t="s">
        <v>422</v>
      </c>
      <c r="C12" s="3" t="s">
        <v>426</v>
      </c>
      <c r="D12" s="49">
        <f>35*k</f>
        <v>17850</v>
      </c>
    </row>
    <row r="13" spans="1:4" ht="15" customHeight="1">
      <c r="A13" s="42" t="s">
        <v>10</v>
      </c>
      <c r="B13" s="55" t="s">
        <v>422</v>
      </c>
      <c r="C13" s="3" t="s">
        <v>427</v>
      </c>
      <c r="D13" s="49">
        <f>35*k</f>
        <v>17850</v>
      </c>
    </row>
    <row r="14" spans="1:4" ht="15" customHeight="1">
      <c r="A14" s="42" t="s">
        <v>11</v>
      </c>
      <c r="B14" s="55" t="s">
        <v>422</v>
      </c>
      <c r="C14" s="3" t="s">
        <v>428</v>
      </c>
      <c r="D14" s="49">
        <f>35*k</f>
        <v>17850</v>
      </c>
    </row>
    <row r="15" spans="1:4" ht="15" customHeight="1">
      <c r="A15" s="42" t="s">
        <v>13</v>
      </c>
      <c r="B15" s="55" t="s">
        <v>422</v>
      </c>
      <c r="C15" s="3" t="s">
        <v>429</v>
      </c>
      <c r="D15" s="49">
        <f>70*k</f>
        <v>35700</v>
      </c>
    </row>
    <row r="16" spans="1:4" ht="15" customHeight="1">
      <c r="A16" s="42" t="s">
        <v>14</v>
      </c>
      <c r="B16" s="55" t="s">
        <v>422</v>
      </c>
      <c r="C16" s="3" t="s">
        <v>430</v>
      </c>
      <c r="D16" s="49">
        <f>70*k</f>
        <v>35700</v>
      </c>
    </row>
    <row r="17" spans="1:4" ht="15" customHeight="1">
      <c r="A17" s="42" t="s">
        <v>19</v>
      </c>
      <c r="B17" s="55" t="s">
        <v>422</v>
      </c>
      <c r="C17" s="3" t="s">
        <v>431</v>
      </c>
      <c r="D17" s="49">
        <f>72*k</f>
        <v>36720</v>
      </c>
    </row>
    <row r="18" spans="1:4" ht="15" customHeight="1">
      <c r="A18" s="42" t="s">
        <v>7</v>
      </c>
      <c r="B18" s="55" t="s">
        <v>422</v>
      </c>
      <c r="C18" s="3" t="s">
        <v>432</v>
      </c>
      <c r="D18" s="49">
        <f>74*k</f>
        <v>37740</v>
      </c>
    </row>
    <row r="19" spans="1:4" ht="15" customHeight="1">
      <c r="A19" s="42" t="s">
        <v>106</v>
      </c>
      <c r="B19" s="55" t="s">
        <v>422</v>
      </c>
      <c r="C19" s="3" t="s">
        <v>433</v>
      </c>
      <c r="D19" s="49">
        <f>66*k</f>
        <v>33660</v>
      </c>
    </row>
    <row r="20" spans="1:4" ht="15" customHeight="1">
      <c r="A20" s="42" t="s">
        <v>105</v>
      </c>
      <c r="B20" s="55" t="s">
        <v>422</v>
      </c>
      <c r="C20" s="3" t="s">
        <v>435</v>
      </c>
      <c r="D20" s="49">
        <f>87*k</f>
        <v>44370</v>
      </c>
    </row>
    <row r="21" spans="1:4" ht="15" customHeight="1" thickBot="1">
      <c r="A21" s="42" t="s">
        <v>76</v>
      </c>
      <c r="B21" s="55" t="s">
        <v>434</v>
      </c>
      <c r="C21" s="3" t="s">
        <v>436</v>
      </c>
      <c r="D21" s="49">
        <f>75*k</f>
        <v>38250</v>
      </c>
    </row>
    <row r="22" spans="1:4" ht="16.5" thickBot="1">
      <c r="A22" s="246" t="s">
        <v>437</v>
      </c>
      <c r="B22" s="247"/>
      <c r="C22" s="247"/>
      <c r="D22" s="248"/>
    </row>
    <row r="23" spans="1:4" ht="12.75" customHeight="1">
      <c r="A23" s="61" t="s">
        <v>107</v>
      </c>
      <c r="B23" s="55" t="s">
        <v>442</v>
      </c>
      <c r="C23" s="3"/>
      <c r="D23" s="34">
        <f>90*k</f>
        <v>45900</v>
      </c>
    </row>
    <row r="24" spans="1:4" ht="12.75">
      <c r="A24" s="61" t="s">
        <v>438</v>
      </c>
      <c r="B24" s="253" t="s">
        <v>443</v>
      </c>
      <c r="C24" s="200"/>
      <c r="D24" s="34">
        <f>125*k</f>
        <v>63750</v>
      </c>
    </row>
    <row r="25" spans="1:4" ht="12.75">
      <c r="A25" s="12" t="s">
        <v>439</v>
      </c>
      <c r="B25" s="253" t="s">
        <v>444</v>
      </c>
      <c r="C25" s="200"/>
      <c r="D25" s="34">
        <f>150*k</f>
        <v>76500</v>
      </c>
    </row>
    <row r="26" spans="1:4" ht="12.75" customHeight="1">
      <c r="A26" s="61" t="s">
        <v>81</v>
      </c>
      <c r="B26" s="253" t="s">
        <v>445</v>
      </c>
      <c r="C26" s="200"/>
      <c r="D26" s="34">
        <f>56*k</f>
        <v>28560</v>
      </c>
    </row>
    <row r="27" spans="1:4" ht="12.75">
      <c r="A27" s="61" t="s">
        <v>440</v>
      </c>
      <c r="B27" s="253" t="s">
        <v>446</v>
      </c>
      <c r="C27" s="200"/>
      <c r="D27" s="34">
        <f>20*k</f>
        <v>10200</v>
      </c>
    </row>
    <row r="28" spans="1:4" ht="13.5" thickBot="1">
      <c r="A28" s="12" t="s">
        <v>441</v>
      </c>
      <c r="B28" s="253" t="s">
        <v>447</v>
      </c>
      <c r="C28" s="200"/>
      <c r="D28" s="34">
        <f>22*k</f>
        <v>11220</v>
      </c>
    </row>
    <row r="29" spans="1:4" ht="16.5" thickBot="1">
      <c r="A29" s="160" t="s">
        <v>503</v>
      </c>
      <c r="B29" s="161"/>
      <c r="C29" s="161"/>
      <c r="D29" s="162"/>
    </row>
    <row r="30" spans="1:4" ht="12.75">
      <c r="A30" s="56" t="s">
        <v>51</v>
      </c>
      <c r="B30" s="209" t="s">
        <v>487</v>
      </c>
      <c r="C30" s="210"/>
      <c r="D30" s="24">
        <f>_xlfn.FLOOR.PRECISE(36*k,100)</f>
        <v>18300</v>
      </c>
    </row>
    <row r="31" spans="1:4" ht="12.75">
      <c r="A31" s="56" t="s">
        <v>52</v>
      </c>
      <c r="B31" s="211" t="s">
        <v>53</v>
      </c>
      <c r="C31" s="212"/>
      <c r="D31" s="24">
        <f>44*k</f>
        <v>22440</v>
      </c>
    </row>
    <row r="32" spans="1:4" ht="12.75">
      <c r="A32" s="56" t="s">
        <v>99</v>
      </c>
      <c r="B32" s="199" t="s">
        <v>102</v>
      </c>
      <c r="C32" s="212"/>
      <c r="D32" s="24">
        <f>96*k</f>
        <v>48960</v>
      </c>
    </row>
    <row r="33" spans="1:4" ht="12.75">
      <c r="A33" s="56" t="s">
        <v>100</v>
      </c>
      <c r="B33" s="211" t="s">
        <v>103</v>
      </c>
      <c r="C33" s="212"/>
      <c r="D33" s="24">
        <f>43*k</f>
        <v>21930</v>
      </c>
    </row>
    <row r="34" spans="1:4" ht="12.75">
      <c r="A34" s="56" t="s">
        <v>101</v>
      </c>
      <c r="B34" s="199" t="s">
        <v>104</v>
      </c>
      <c r="C34" s="212"/>
      <c r="D34" s="24">
        <f>13*k</f>
        <v>6630</v>
      </c>
    </row>
    <row r="35" spans="1:4" ht="12.75">
      <c r="A35" s="4" t="s">
        <v>259</v>
      </c>
      <c r="B35" s="199" t="s">
        <v>260</v>
      </c>
      <c r="C35" s="212"/>
      <c r="D35" s="24">
        <f>12*k</f>
        <v>6120</v>
      </c>
    </row>
    <row r="36" spans="1:4" ht="12.75">
      <c r="A36" s="48" t="s">
        <v>59</v>
      </c>
      <c r="B36" s="211" t="s">
        <v>235</v>
      </c>
      <c r="C36" s="212"/>
      <c r="D36" s="34">
        <f>35*k</f>
        <v>17850</v>
      </c>
    </row>
    <row r="37" spans="1:4" ht="12.75">
      <c r="A37" s="12" t="s">
        <v>60</v>
      </c>
      <c r="B37" s="211" t="s">
        <v>234</v>
      </c>
      <c r="C37" s="212"/>
      <c r="D37" s="34">
        <f>10*k</f>
        <v>5100</v>
      </c>
    </row>
  </sheetData>
  <sheetProtection/>
  <mergeCells count="22">
    <mergeCell ref="A1:D1"/>
    <mergeCell ref="B2:C2"/>
    <mergeCell ref="A3:D3"/>
    <mergeCell ref="B4:C4"/>
    <mergeCell ref="B5:C5"/>
    <mergeCell ref="B6:C6"/>
    <mergeCell ref="B26:C26"/>
    <mergeCell ref="B27:C27"/>
    <mergeCell ref="B28:C28"/>
    <mergeCell ref="A7:D7"/>
    <mergeCell ref="A22:D22"/>
    <mergeCell ref="B24:C24"/>
    <mergeCell ref="B25:C25"/>
    <mergeCell ref="B36:C36"/>
    <mergeCell ref="B37:C37"/>
    <mergeCell ref="B35:C35"/>
    <mergeCell ref="A29:D29"/>
    <mergeCell ref="B30:C30"/>
    <mergeCell ref="B31:C31"/>
    <mergeCell ref="B32:C32"/>
    <mergeCell ref="B33:C33"/>
    <mergeCell ref="B34:C34"/>
  </mergeCells>
  <hyperlinks>
    <hyperlink ref="A1:D1" location="Оглавление!R1C1" display="Вернуться в Оглавление"/>
  </hyperlink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VARIANT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</dc:creator>
  <cp:keywords/>
  <dc:description/>
  <cp:lastModifiedBy>Антон Парилов</cp:lastModifiedBy>
  <cp:lastPrinted>2023-07-01T06:17:38Z</cp:lastPrinted>
  <dcterms:created xsi:type="dcterms:W3CDTF">2006-03-09T10:15:51Z</dcterms:created>
  <dcterms:modified xsi:type="dcterms:W3CDTF">2023-09-26T06:09:34Z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